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mc:AlternateContent xmlns:mc="http://schemas.openxmlformats.org/markup-compatibility/2006">
    <mc:Choice Requires="x15">
      <x15ac:absPath xmlns:x15ac="http://schemas.microsoft.com/office/spreadsheetml/2010/11/ac" url="C:\Users\acharlebois\Desktop\"/>
    </mc:Choice>
  </mc:AlternateContent>
  <xr:revisionPtr revIDLastSave="0" documentId="8_{F9883B8C-C057-4435-BC75-F24B6F509C13}" xr6:coauthVersionLast="47" xr6:coauthVersionMax="47" xr10:uidLastSave="{00000000-0000-0000-0000-000000000000}"/>
  <bookViews>
    <workbookView xWindow="-108" yWindow="-108" windowWidth="23256" windowHeight="13896" tabRatio="763" xr2:uid="{1DED5001-58F4-4D7F-AC11-FF1E4993E69C}"/>
  </bookViews>
  <sheets>
    <sheet name="Read Me" sheetId="247" r:id="rId1"/>
    <sheet name="Assumptions" sheetId="130" r:id="rId2"/>
    <sheet name="2026 Collections Summary" sheetId="244" r:id="rId3"/>
    <sheet name="Regional Water Debenture" sheetId="248" r:id="rId4"/>
    <sheet name="Project List " sheetId="237" r:id="rId5"/>
    <sheet name="Cost Recovery Timing" sheetId="242" r:id="rId6"/>
    <sheet name="W-Distribution" sheetId="209" r:id="rId7"/>
    <sheet name="Wat Distribution - OSL" sheetId="225" r:id="rId8"/>
    <sheet name="W-Supply" sheetId="210" r:id="rId9"/>
    <sheet name="Wat Supply - OSL" sheetId="229" r:id="rId10"/>
    <sheet name="W-Storage" sheetId="211" r:id="rId11"/>
    <sheet name="Wat Storage - OSL" sheetId="227" r:id="rId12"/>
    <sheet name="Offsite Levy Rate Summary" sheetId="217" r:id="rId13"/>
  </sheets>
  <definedNames>
    <definedName name="a">#REF!</definedName>
    <definedName name="Beg_Bal">#REF!</definedName>
    <definedName name="Buddata">#REF!</definedName>
    <definedName name="Capdata1">#REF!</definedName>
    <definedName name="CFWD">#REF!</definedName>
    <definedName name="CondoALC">#REF!</definedName>
    <definedName name="Contingency">#REF!</definedName>
    <definedName name="Cum_Int">#REF!</definedName>
    <definedName name="Data">#REF!</definedName>
    <definedName name="del">#REF!</definedName>
    <definedName name="End_Bal">#REF!</definedName>
    <definedName name="Engineering">#REF!</definedName>
    <definedName name="Extra_Pay">#REF!</definedName>
    <definedName name="fgdsfdgf" localSheetId="5">#REF!</definedName>
    <definedName name="fgdsfdgf" localSheetId="12">#REF!</definedName>
    <definedName name="fgdsfdgf" localSheetId="7">#REF!</definedName>
    <definedName name="fgdsfdgf" localSheetId="11">#REF!</definedName>
    <definedName name="fgdsfdgf" localSheetId="9">#REF!</definedName>
    <definedName name="fgdsfdgf">#REF!</definedName>
    <definedName name="Full_Print">#REF!</definedName>
    <definedName name="Header_Row">ROW(#REF!)</definedName>
    <definedName name="Int">#REF!</definedName>
    <definedName name="INTBAL">#REF!</definedName>
    <definedName name="Interest_Rate">#REF!</definedName>
    <definedName name="INVENTORY96">#REF!</definedName>
    <definedName name="INVENTORY97">#REF!</definedName>
    <definedName name="INVENTORY98">#REF!</definedName>
    <definedName name="JMH_Markups">#REF!</definedName>
    <definedName name="LAND4SALE96">#REF!</definedName>
    <definedName name="LAND4SALE97">#REF!</definedName>
    <definedName name="LANDREDUCE97">#REF!</definedName>
    <definedName name="Last_Row" localSheetId="5">IF('Cost Recovery Timing'!Values_Entered,[0]!Header_Row+'Cost Recovery Timing'!Number_of_Payments,[0]!Header_Row)</definedName>
    <definedName name="Last_Row" localSheetId="4">IF('Project List '!Values_Entered,[0]!Header_Row+'Project List '!Number_of_Payments,[0]!Header_Row)</definedName>
    <definedName name="Last_Row" localSheetId="7">IF('Wat Distribution - OSL'!Values_Entered,[0]!Header_Row+'Wat Distribution - OSL'!Number_of_Payments,[0]!Header_Row)</definedName>
    <definedName name="Last_Row" localSheetId="11">IF('Wat Storage - OSL'!Values_Entered,[0]!Header_Row+'Wat Storage - OSL'!Number_of_Payments,[0]!Header_Row)</definedName>
    <definedName name="Last_Row" localSheetId="9">IF('Wat Supply - OSL'!Values_Entered,[0]!Header_Row+'Wat Supply - OSL'!Number_of_Payments,[0]!Header_Row)</definedName>
    <definedName name="Last_Row" localSheetId="6">IF('W-Distribution'!Values_Entered,[0]!Header_Row+'W-Distribution'!Number_of_Payments,[0]!Header_Row)</definedName>
    <definedName name="Last_Row" localSheetId="10">IF('W-Storage'!Values_Entered,[0]!Header_Row+'W-Storage'!Number_of_Payments,[0]!Header_Row)</definedName>
    <definedName name="Last_Row" localSheetId="8">IF('W-Supply'!Values_Entered,[0]!Header_Row+'W-Supply'!Number_of_Payments,[0]!Header_Row)</definedName>
    <definedName name="Last_Row">IF(Values_Entered,Header_Row+Number_of_Payments,Header_Row)</definedName>
    <definedName name="Loan_Amount">#REF!</definedName>
    <definedName name="Loan_Start">#REF!</definedName>
    <definedName name="Loan_Years">#REF!</definedName>
    <definedName name="Num_Pmt_Per_Year">#REF!</definedName>
    <definedName name="Number_of_Payments" localSheetId="5">MATCH(0.01,[0]!End_Bal,-1)+1</definedName>
    <definedName name="Number_of_Payments" localSheetId="4">MATCH(0.01,[0]!End_Bal,-1)+1</definedName>
    <definedName name="Number_of_Payments" localSheetId="7">MATCH(0.01,[0]!End_Bal,-1)+1</definedName>
    <definedName name="Number_of_Payments" localSheetId="11">MATCH(0.01,[0]!End_Bal,-1)+1</definedName>
    <definedName name="Number_of_Payments" localSheetId="9">MATCH(0.01,[0]!End_Bal,-1)+1</definedName>
    <definedName name="Number_of_Payments" localSheetId="6">MATCH(0.01,[0]!End_Bal,-1)+1</definedName>
    <definedName name="Number_of_Payments" localSheetId="10">MATCH(0.01,[0]!End_Bal,-1)+1</definedName>
    <definedName name="Number_of_Payments" localSheetId="8">MATCH(0.01,[0]!End_Bal,-1)+1</definedName>
    <definedName name="Number_of_Payments">MATCH(0.01,End_Bal,-1)+1</definedName>
    <definedName name="Pay_Date">#REF!</definedName>
    <definedName name="Pay_Num">#REF!</definedName>
    <definedName name="Payment_Date" localSheetId="5">DATE(YEAR([0]!Loan_Start),MONTH([0]!Loan_Start)+Payment_Number,DAY([0]!Loan_Start))</definedName>
    <definedName name="Payment_Date" localSheetId="12">DATE(YEAR([0]!Loan_Start),MONTH([0]!Loan_Start)+Payment_Number,DAY([0]!Loan_Start))</definedName>
    <definedName name="Payment_Date" localSheetId="4">DATE(YEAR([0]!Loan_Start),MONTH([0]!Loan_Start)+Payment_Number,DAY([0]!Loan_Start))</definedName>
    <definedName name="Payment_Date" localSheetId="7">DATE(YEAR([0]!Loan_Start),MONTH([0]!Loan_Start)+Payment_Number,DAY([0]!Loan_Start))</definedName>
    <definedName name="Payment_Date" localSheetId="11">DATE(YEAR([0]!Loan_Start),MONTH([0]!Loan_Start)+Payment_Number,DAY([0]!Loan_Start))</definedName>
    <definedName name="Payment_Date" localSheetId="9">DATE(YEAR([0]!Loan_Start),MONTH([0]!Loan_Start)+Payment_Number,DAY([0]!Loan_Start))</definedName>
    <definedName name="Payment_Date" localSheetId="6">DATE(YEAR([0]!Loan_Start),MONTH([0]!Loan_Start)+Payment_Number,DAY([0]!Loan_Start))</definedName>
    <definedName name="Payment_Date" localSheetId="10">DATE(YEAR([0]!Loan_Start),MONTH([0]!Loan_Start)+Payment_Number,DAY([0]!Loan_Start))</definedName>
    <definedName name="Payment_Date" localSheetId="8">DATE(YEAR([0]!Loan_Start),MONTH([0]!Loan_Start)+Payment_Number,DAY([0]!Loan_Start))</definedName>
    <definedName name="Payment_Date">DATE(YEAR(Loan_Start),MONTH(Loan_Start)+Payment_Number,DAY(Loan_Start))</definedName>
    <definedName name="payments_per_year" localSheetId="5">#REF!</definedName>
    <definedName name="payments_per_year" localSheetId="12">#REF!</definedName>
    <definedName name="payments_per_year" localSheetId="7">#REF!</definedName>
    <definedName name="payments_per_year" localSheetId="11">#REF!</definedName>
    <definedName name="payments_per_year" localSheetId="9">#REF!</definedName>
    <definedName name="payments_per_year">#REF!</definedName>
    <definedName name="Princ">#REF!</definedName>
    <definedName name="PRINCBAL">#REF!</definedName>
    <definedName name="_xlnm.Print_Area" localSheetId="4">'Project List '!$A$1:$AO$22</definedName>
    <definedName name="_xlnm.Print_Area" localSheetId="10">'W-Storage'!$B$2:$K$12</definedName>
    <definedName name="Print_Area_Reset" localSheetId="5">OFFSET([0]!Full_Print,0,0,'Cost Recovery Timing'!Last_Row)</definedName>
    <definedName name="Print_Area_Reset" localSheetId="4">OFFSET([0]!Full_Print,0,0,'Project List '!Last_Row)</definedName>
    <definedName name="Print_Area_Reset" localSheetId="7">OFFSET([0]!Full_Print,0,0,'Wat Distribution - OSL'!Last_Row)</definedName>
    <definedName name="Print_Area_Reset" localSheetId="11">OFFSET([0]!Full_Print,0,0,'Wat Storage - OSL'!Last_Row)</definedName>
    <definedName name="Print_Area_Reset" localSheetId="9">OFFSET([0]!Full_Print,0,0,'Wat Supply - OSL'!Last_Row)</definedName>
    <definedName name="Print_Area_Reset" localSheetId="6">OFFSET([0]!Full_Print,0,0,'W-Distribution'!Last_Row)</definedName>
    <definedName name="Print_Area_Reset" localSheetId="10">OFFSET([0]!Full_Print,0,0,'W-Storage'!Last_Row)</definedName>
    <definedName name="Print_Area_Reset" localSheetId="8">OFFSET([0]!Full_Print,0,0,'W-Supply'!Last_Row)</definedName>
    <definedName name="Print_Area_Reset">OFFSET(Full_Print,0,0,Last_Row)</definedName>
    <definedName name="Projects">#REF!</definedName>
    <definedName name="Residential?">#REF!</definedName>
    <definedName name="Sched_Pay">#REF!</definedName>
    <definedName name="Scheduled_Extra_Payments">#REF!</definedName>
    <definedName name="Scheduled_Interest_Rate">#REF!</definedName>
    <definedName name="Scheduled_Monthly_Payment">#REF!</definedName>
    <definedName name="solver_adj" localSheetId="7" hidden="1">'Wat Distribution - OSL'!$I$22</definedName>
    <definedName name="solver_adj" localSheetId="11" hidden="1">'Wat Storage - OSL'!$I$22</definedName>
    <definedName name="solver_adj" localSheetId="9" hidden="1">'Wat Supply - OSL'!$I$22</definedName>
    <definedName name="solver_cvg" localSheetId="7" hidden="1">0.0001</definedName>
    <definedName name="solver_cvg" localSheetId="11" hidden="1">0.0001</definedName>
    <definedName name="solver_cvg" localSheetId="9" hidden="1">0.0001</definedName>
    <definedName name="solver_drv" localSheetId="7" hidden="1">1</definedName>
    <definedName name="solver_drv" localSheetId="11" hidden="1">1</definedName>
    <definedName name="solver_drv" localSheetId="9" hidden="1">1</definedName>
    <definedName name="solver_eng" localSheetId="7" hidden="1">1</definedName>
    <definedName name="solver_eng" localSheetId="11" hidden="1">1</definedName>
    <definedName name="solver_eng" localSheetId="9" hidden="1">1</definedName>
    <definedName name="solver_est" localSheetId="7" hidden="1">1</definedName>
    <definedName name="solver_est" localSheetId="11" hidden="1">1</definedName>
    <definedName name="solver_est" localSheetId="9" hidden="1">1</definedName>
    <definedName name="solver_itr" localSheetId="7" hidden="1">2147483647</definedName>
    <definedName name="solver_itr" localSheetId="11" hidden="1">2147483647</definedName>
    <definedName name="solver_itr" localSheetId="9" hidden="1">2147483647</definedName>
    <definedName name="solver_mip" localSheetId="7" hidden="1">2147483647</definedName>
    <definedName name="solver_mip" localSheetId="11" hidden="1">2147483647</definedName>
    <definedName name="solver_mip" localSheetId="9" hidden="1">2147483647</definedName>
    <definedName name="solver_mni" localSheetId="7" hidden="1">30</definedName>
    <definedName name="solver_mni" localSheetId="11" hidden="1">30</definedName>
    <definedName name="solver_mni" localSheetId="9" hidden="1">30</definedName>
    <definedName name="solver_mrt" localSheetId="7" hidden="1">0.075</definedName>
    <definedName name="solver_mrt" localSheetId="11" hidden="1">0.075</definedName>
    <definedName name="solver_mrt" localSheetId="9" hidden="1">0.075</definedName>
    <definedName name="solver_msl" localSheetId="7" hidden="1">2</definedName>
    <definedName name="solver_msl" localSheetId="11" hidden="1">2</definedName>
    <definedName name="solver_msl" localSheetId="9" hidden="1">2</definedName>
    <definedName name="solver_neg" localSheetId="7" hidden="1">1</definedName>
    <definedName name="solver_neg" localSheetId="11" hidden="1">1</definedName>
    <definedName name="solver_neg" localSheetId="9" hidden="1">1</definedName>
    <definedName name="solver_nod" localSheetId="7" hidden="1">2147483647</definedName>
    <definedName name="solver_nod" localSheetId="11" hidden="1">2147483647</definedName>
    <definedName name="solver_nod" localSheetId="9" hidden="1">2147483647</definedName>
    <definedName name="solver_num" localSheetId="7" hidden="1">0</definedName>
    <definedName name="solver_num" localSheetId="11" hidden="1">0</definedName>
    <definedName name="solver_num" localSheetId="9" hidden="1">0</definedName>
    <definedName name="solver_nwt" localSheetId="7" hidden="1">1</definedName>
    <definedName name="solver_nwt" localSheetId="11" hidden="1">1</definedName>
    <definedName name="solver_nwt" localSheetId="9" hidden="1">1</definedName>
    <definedName name="solver_opt" localSheetId="7" hidden="1">'Wat Distribution - OSL'!$N$49</definedName>
    <definedName name="solver_opt" localSheetId="11" hidden="1">'Wat Storage - OSL'!$N$50</definedName>
    <definedName name="solver_opt" localSheetId="9" hidden="1">'Wat Supply - OSL'!$N$49</definedName>
    <definedName name="solver_pre" localSheetId="7" hidden="1">0.000001</definedName>
    <definedName name="solver_pre" localSheetId="11" hidden="1">0.000001</definedName>
    <definedName name="solver_pre" localSheetId="9" hidden="1">0.000001</definedName>
    <definedName name="solver_rbv" localSheetId="7" hidden="1">1</definedName>
    <definedName name="solver_rbv" localSheetId="11" hidden="1">1</definedName>
    <definedName name="solver_rbv" localSheetId="9" hidden="1">1</definedName>
    <definedName name="solver_rlx" localSheetId="7" hidden="1">2</definedName>
    <definedName name="solver_rlx" localSheetId="11" hidden="1">2</definedName>
    <definedName name="solver_rlx" localSheetId="9" hidden="1">2</definedName>
    <definedName name="solver_rsd" localSheetId="7" hidden="1">0</definedName>
    <definedName name="solver_rsd" localSheetId="11" hidden="1">0</definedName>
    <definedName name="solver_rsd" localSheetId="9" hidden="1">0</definedName>
    <definedName name="solver_scl" localSheetId="7" hidden="1">1</definedName>
    <definedName name="solver_scl" localSheetId="11" hidden="1">1</definedName>
    <definedName name="solver_scl" localSheetId="9" hidden="1">1</definedName>
    <definedName name="solver_sho" localSheetId="7" hidden="1">2</definedName>
    <definedName name="solver_sho" localSheetId="11" hidden="1">2</definedName>
    <definedName name="solver_sho" localSheetId="9" hidden="1">2</definedName>
    <definedName name="solver_ssz" localSheetId="7" hidden="1">100</definedName>
    <definedName name="solver_ssz" localSheetId="11" hidden="1">100</definedName>
    <definedName name="solver_ssz" localSheetId="9" hidden="1">100</definedName>
    <definedName name="solver_tim" localSheetId="7" hidden="1">2147483647</definedName>
    <definedName name="solver_tim" localSheetId="11" hidden="1">2147483647</definedName>
    <definedName name="solver_tim" localSheetId="9" hidden="1">2147483647</definedName>
    <definedName name="solver_tol" localSheetId="7" hidden="1">0.01</definedName>
    <definedName name="solver_tol" localSheetId="11" hidden="1">0.01</definedName>
    <definedName name="solver_tol" localSheetId="9" hidden="1">0.01</definedName>
    <definedName name="solver_typ" localSheetId="7" hidden="1">3</definedName>
    <definedName name="solver_typ" localSheetId="11" hidden="1">3</definedName>
    <definedName name="solver_typ" localSheetId="9" hidden="1">3</definedName>
    <definedName name="solver_val" localSheetId="7" hidden="1">0</definedName>
    <definedName name="solver_val" localSheetId="11" hidden="1">0</definedName>
    <definedName name="solver_val" localSheetId="9" hidden="1">0</definedName>
    <definedName name="solver_ver" localSheetId="7" hidden="1">3</definedName>
    <definedName name="solver_ver" localSheetId="11" hidden="1">3</definedName>
    <definedName name="solver_ver" localSheetId="9" hidden="1">3</definedName>
    <definedName name="start_date" localSheetId="5">#REF!</definedName>
    <definedName name="start_date" localSheetId="12">#REF!</definedName>
    <definedName name="start_date" localSheetId="7">#REF!</definedName>
    <definedName name="start_date" localSheetId="11">#REF!</definedName>
    <definedName name="start_date" localSheetId="9">#REF!</definedName>
    <definedName name="start_date">#REF!</definedName>
    <definedName name="Summaryada" localSheetId="7">#REF!</definedName>
    <definedName name="Summaryada" localSheetId="11">#REF!</definedName>
    <definedName name="Summaryada" localSheetId="9">#REF!</definedName>
    <definedName name="Summaryada">#REF!</definedName>
    <definedName name="Total_Interest">#REF!</definedName>
    <definedName name="Total_Pay">#REF!</definedName>
    <definedName name="Values_Entered" localSheetId="5">IF([0]!Loan_Amount*[0]!Interest_Rate*[0]!Loan_Years*[0]!Loan_Start&gt;0,1,0)</definedName>
    <definedName name="Values_Entered" localSheetId="4">IF([0]!Loan_Amount*[0]!Interest_Rate*[0]!Loan_Years*[0]!Loan_Start&gt;0,1,0)</definedName>
    <definedName name="Values_Entered" localSheetId="7">IF([0]!Loan_Amount*[0]!Interest_Rate*[0]!Loan_Years*[0]!Loan_Start&gt;0,1,0)</definedName>
    <definedName name="Values_Entered" localSheetId="11">IF([0]!Loan_Amount*[0]!Interest_Rate*[0]!Loan_Years*[0]!Loan_Start&gt;0,1,0)</definedName>
    <definedName name="Values_Entered" localSheetId="9">IF([0]!Loan_Amount*[0]!Interest_Rate*[0]!Loan_Years*[0]!Loan_Start&gt;0,1,0)</definedName>
    <definedName name="Values_Entered" localSheetId="6">IF([0]!Loan_Amount*[0]!Interest_Rate*[0]!Loan_Years*[0]!Loan_Start&gt;0,1,0)</definedName>
    <definedName name="Values_Entered" localSheetId="10">IF([0]!Loan_Amount*[0]!Interest_Rate*[0]!Loan_Years*[0]!Loan_Start&gt;0,1,0)</definedName>
    <definedName name="Values_Entered" localSheetId="8">IF([0]!Loan_Amount*[0]!Interest_Rate*[0]!Loan_Years*[0]!Loan_Start&gt;0,1,0)</definedName>
    <definedName name="Values_Entered">IF(Loan_Amount*Interest_Rate*Loan_Years*Loan_Start&gt;0,1,0)</definedName>
    <definedName name="years" localSheetId="5">#REF!</definedName>
    <definedName name="years" localSheetId="12">#REF!</definedName>
    <definedName name="years" localSheetId="7">#REF!</definedName>
    <definedName name="years" localSheetId="11">#REF!</definedName>
    <definedName name="years" localSheetId="9">#REF!</definedName>
    <definedName name="years">#REF!</definedName>
    <definedName name="ZonetoJune30201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6" i="227" l="1"/>
  <c r="BT17" i="227"/>
  <c r="BT15" i="227"/>
  <c r="BT16" i="227"/>
  <c r="BT13" i="229"/>
  <c r="BT12" i="229"/>
  <c r="BT15" i="225"/>
  <c r="K15" i="225"/>
  <c r="X9" i="237"/>
  <c r="X22" i="237"/>
  <c r="X17" i="237"/>
  <c r="AI9" i="237"/>
  <c r="D7" i="217" l="1"/>
  <c r="D6" i="217"/>
  <c r="X16" i="237"/>
  <c r="AJ22" i="237"/>
  <c r="AI22" i="237"/>
  <c r="B33" i="130"/>
  <c r="B32" i="130"/>
  <c r="I12" i="227" l="1"/>
  <c r="I13" i="227"/>
  <c r="I14" i="227"/>
  <c r="I15" i="227"/>
  <c r="I16" i="227"/>
  <c r="J16" i="227" s="1"/>
  <c r="D12" i="227"/>
  <c r="E12" i="227" s="1"/>
  <c r="D13" i="227"/>
  <c r="D14" i="227"/>
  <c r="D15" i="227"/>
  <c r="D16" i="227"/>
  <c r="J12" i="227"/>
  <c r="C13" i="227"/>
  <c r="C14" i="227"/>
  <c r="C15" i="227"/>
  <c r="C16" i="227"/>
  <c r="C12" i="227"/>
  <c r="E16" i="227"/>
  <c r="C10" i="211"/>
  <c r="B16" i="227" s="1"/>
  <c r="D10" i="211"/>
  <c r="E10" i="211"/>
  <c r="F10" i="211"/>
  <c r="G10" i="211"/>
  <c r="H10" i="211"/>
  <c r="I10" i="211"/>
  <c r="J10" i="211"/>
  <c r="B34" i="130" l="1"/>
  <c r="C32" i="227" s="1"/>
  <c r="T12" i="237"/>
  <c r="U12" i="237" s="1"/>
  <c r="I57" i="225" l="1"/>
  <c r="I58" i="225"/>
  <c r="I59" i="225"/>
  <c r="I60" i="225"/>
  <c r="I61" i="225"/>
  <c r="I62" i="225"/>
  <c r="I63" i="225"/>
  <c r="I64" i="225"/>
  <c r="I65" i="225"/>
  <c r="I55" i="229"/>
  <c r="I56" i="229"/>
  <c r="I57" i="229"/>
  <c r="I58" i="229"/>
  <c r="I59" i="229"/>
  <c r="I60" i="229"/>
  <c r="I61" i="229"/>
  <c r="I62" i="229"/>
  <c r="I63" i="229"/>
  <c r="I64" i="229"/>
  <c r="I65" i="229"/>
  <c r="C9" i="211"/>
  <c r="B15" i="227" s="1"/>
  <c r="D9" i="211"/>
  <c r="E9" i="211"/>
  <c r="F9" i="211"/>
  <c r="G9" i="211"/>
  <c r="H9" i="211"/>
  <c r="J15" i="227" s="1"/>
  <c r="J9" i="211"/>
  <c r="AE20" i="237"/>
  <c r="AF20" i="237"/>
  <c r="Z21" i="237"/>
  <c r="AH21" i="237"/>
  <c r="AI21" i="237" s="1"/>
  <c r="AH15" i="237"/>
  <c r="K9" i="211" s="1"/>
  <c r="J15" i="237"/>
  <c r="I9" i="211" s="1"/>
  <c r="F15" i="227" l="1"/>
  <c r="H15" i="227" s="1"/>
  <c r="K15" i="227" s="1"/>
  <c r="AH20" i="237"/>
  <c r="AI20" i="237" s="1"/>
  <c r="E15" i="227"/>
  <c r="AJ15" i="237"/>
  <c r="M9" i="211" s="1"/>
  <c r="AI15" i="237"/>
  <c r="L9" i="211" s="1"/>
  <c r="B7" i="130" l="1"/>
  <c r="B6" i="130"/>
  <c r="H33" i="225"/>
  <c r="H34" i="225"/>
  <c r="H35" i="225"/>
  <c r="H36" i="225"/>
  <c r="H37" i="225"/>
  <c r="H38" i="225"/>
  <c r="H39" i="225"/>
  <c r="H40" i="225"/>
  <c r="H41" i="225"/>
  <c r="H42" i="225"/>
  <c r="H43" i="225"/>
  <c r="H44" i="225"/>
  <c r="H45" i="225"/>
  <c r="H46" i="225"/>
  <c r="H47" i="225"/>
  <c r="H48" i="225"/>
  <c r="H49" i="225"/>
  <c r="H50" i="225"/>
  <c r="H51" i="225"/>
  <c r="H52" i="225"/>
  <c r="H53" i="225"/>
  <c r="H54" i="225"/>
  <c r="H55" i="225"/>
  <c r="J7" i="237" l="1"/>
  <c r="G7" i="211" l="1"/>
  <c r="G8" i="211"/>
  <c r="G6" i="211"/>
  <c r="G7" i="210"/>
  <c r="G6" i="210"/>
  <c r="G7" i="209"/>
  <c r="G8" i="209"/>
  <c r="D14" i="225" s="1"/>
  <c r="G6" i="209"/>
  <c r="D12" i="225" s="1"/>
  <c r="U8" i="242"/>
  <c r="T8" i="242"/>
  <c r="S8" i="242"/>
  <c r="I11" i="248" l="1"/>
  <c r="I12" i="248"/>
  <c r="I13" i="248"/>
  <c r="I14" i="248"/>
  <c r="I15" i="248"/>
  <c r="I16" i="248"/>
  <c r="I17" i="248"/>
  <c r="I18" i="248"/>
  <c r="I19" i="248"/>
  <c r="I20" i="248"/>
  <c r="I21" i="248"/>
  <c r="I22" i="248"/>
  <c r="I23" i="248"/>
  <c r="I24" i="248"/>
  <c r="I25" i="248"/>
  <c r="I26" i="248"/>
  <c r="I27" i="248"/>
  <c r="I28" i="248"/>
  <c r="I29" i="248"/>
  <c r="I30" i="248"/>
  <c r="I31" i="248"/>
  <c r="I32" i="248"/>
  <c r="I33" i="248"/>
  <c r="I34" i="248"/>
  <c r="I35" i="248"/>
  <c r="I36" i="248"/>
  <c r="I37" i="248"/>
  <c r="I38" i="248"/>
  <c r="I39" i="248"/>
  <c r="I10" i="248"/>
  <c r="J6" i="237"/>
  <c r="H6" i="209" s="1"/>
  <c r="AG6" i="237"/>
  <c r="V7" i="237"/>
  <c r="W7" i="237" s="1"/>
  <c r="X7" i="237" s="1"/>
  <c r="J8" i="237"/>
  <c r="V8" i="237"/>
  <c r="J12" i="237"/>
  <c r="V12" i="237"/>
  <c r="W12" i="237" s="1"/>
  <c r="X12" i="237" s="1"/>
  <c r="J13" i="237"/>
  <c r="U13" i="237"/>
  <c r="V13" i="237" s="1"/>
  <c r="W13" i="237" s="1"/>
  <c r="X13" i="237" s="1"/>
  <c r="AH13" i="237" s="1"/>
  <c r="J14" i="237"/>
  <c r="AH14" i="237"/>
  <c r="J16" i="237"/>
  <c r="AH16" i="237"/>
  <c r="K10" i="211" s="1"/>
  <c r="F16" i="227" s="1"/>
  <c r="H16" i="227" s="1"/>
  <c r="K16" i="227" s="1"/>
  <c r="J20" i="237"/>
  <c r="K20" i="237"/>
  <c r="L20" i="237"/>
  <c r="K21" i="237"/>
  <c r="L21" i="237"/>
  <c r="D6" i="209"/>
  <c r="E6" i="209"/>
  <c r="F6" i="209"/>
  <c r="J6" i="209"/>
  <c r="D7" i="209"/>
  <c r="E7" i="209"/>
  <c r="F7" i="209"/>
  <c r="H7" i="209"/>
  <c r="D8" i="209"/>
  <c r="E8" i="209"/>
  <c r="F8" i="209"/>
  <c r="H8" i="209"/>
  <c r="W8" i="237" l="1"/>
  <c r="X8" i="237" s="1"/>
  <c r="AH8" i="237" s="1"/>
  <c r="AJ21" i="237"/>
  <c r="AJ14" i="237"/>
  <c r="AJ16" i="237"/>
  <c r="M10" i="211" s="1"/>
  <c r="AI16" i="237"/>
  <c r="L10" i="211" s="1"/>
  <c r="AI14" i="237"/>
  <c r="AJ13" i="237"/>
  <c r="AI13" i="237"/>
  <c r="AH12" i="237"/>
  <c r="AH7" i="237"/>
  <c r="AJ6" i="237"/>
  <c r="AI6" i="237"/>
  <c r="AJ20" i="237"/>
  <c r="AJ8" i="237" l="1"/>
  <c r="AI8" i="237"/>
  <c r="AJ12" i="237"/>
  <c r="AJ17" i="237" s="1"/>
  <c r="AI12" i="237"/>
  <c r="AI17" i="237" s="1"/>
  <c r="AJ7" i="237"/>
  <c r="AI7" i="237"/>
  <c r="AJ9" i="237"/>
  <c r="H39" i="248" l="1"/>
  <c r="F39" i="248"/>
  <c r="E39" i="248"/>
  <c r="H38" i="248"/>
  <c r="F38" i="248"/>
  <c r="E38" i="248"/>
  <c r="H37" i="248"/>
  <c r="F37" i="248"/>
  <c r="E37" i="248"/>
  <c r="H36" i="248"/>
  <c r="F36" i="248"/>
  <c r="E36" i="248"/>
  <c r="H35" i="248"/>
  <c r="F35" i="248"/>
  <c r="E35" i="248"/>
  <c r="H34" i="248"/>
  <c r="F34" i="248"/>
  <c r="E34" i="248"/>
  <c r="H33" i="248"/>
  <c r="F33" i="248"/>
  <c r="E33" i="248"/>
  <c r="H32" i="248"/>
  <c r="F32" i="248"/>
  <c r="E32" i="248"/>
  <c r="H31" i="248"/>
  <c r="F31" i="248"/>
  <c r="E31" i="248"/>
  <c r="H30" i="248"/>
  <c r="F30" i="248"/>
  <c r="E30" i="248"/>
  <c r="H29" i="248"/>
  <c r="F29" i="248"/>
  <c r="E29" i="248"/>
  <c r="H28" i="248"/>
  <c r="F28" i="248"/>
  <c r="E28" i="248"/>
  <c r="H27" i="248"/>
  <c r="F27" i="248"/>
  <c r="E27" i="248"/>
  <c r="H26" i="248"/>
  <c r="F26" i="248"/>
  <c r="E26" i="248"/>
  <c r="H25" i="248"/>
  <c r="F25" i="248"/>
  <c r="E25" i="248"/>
  <c r="H24" i="248"/>
  <c r="F24" i="248"/>
  <c r="E24" i="248"/>
  <c r="H23" i="248"/>
  <c r="F23" i="248"/>
  <c r="E23" i="248"/>
  <c r="H22" i="248"/>
  <c r="F22" i="248"/>
  <c r="E22" i="248"/>
  <c r="H21" i="248"/>
  <c r="F21" i="248"/>
  <c r="E21" i="248"/>
  <c r="H20" i="248"/>
  <c r="F20" i="248"/>
  <c r="E20" i="248"/>
  <c r="H19" i="248"/>
  <c r="F19" i="248"/>
  <c r="E19" i="248"/>
  <c r="H18" i="248"/>
  <c r="F18" i="248"/>
  <c r="E18" i="248"/>
  <c r="H17" i="248"/>
  <c r="F17" i="248"/>
  <c r="E17" i="248"/>
  <c r="H16" i="248"/>
  <c r="F16" i="248"/>
  <c r="E16" i="248"/>
  <c r="H15" i="248"/>
  <c r="F15" i="248"/>
  <c r="G15" i="248" s="1"/>
  <c r="G16" i="248" s="1"/>
  <c r="E15" i="248"/>
  <c r="H14" i="248"/>
  <c r="F14" i="248"/>
  <c r="G14" i="248" s="1"/>
  <c r="E14" i="248"/>
  <c r="H13" i="248"/>
  <c r="F13" i="248"/>
  <c r="G13" i="248" s="1"/>
  <c r="E13" i="248"/>
  <c r="H12" i="248"/>
  <c r="F12" i="248"/>
  <c r="G12" i="248" s="1"/>
  <c r="E12" i="248"/>
  <c r="H11" i="248"/>
  <c r="F11" i="248"/>
  <c r="G11" i="248" s="1"/>
  <c r="E11" i="248"/>
  <c r="H10" i="248"/>
  <c r="F10" i="248"/>
  <c r="G10" i="248" s="1"/>
  <c r="E10" i="248"/>
  <c r="G17" i="248" l="1"/>
  <c r="G18" i="248" s="1"/>
  <c r="G19" i="248" s="1"/>
  <c r="G20" i="248" s="1"/>
  <c r="G21" i="248" s="1"/>
  <c r="G22" i="248" s="1"/>
  <c r="G23" i="248" s="1"/>
  <c r="G24" i="248" s="1"/>
  <c r="G25" i="248" s="1"/>
  <c r="G26" i="248" s="1"/>
  <c r="G27" i="248" s="1"/>
  <c r="G28" i="248" s="1"/>
  <c r="G29" i="248" s="1"/>
  <c r="G30" i="248" s="1"/>
  <c r="G31" i="248" s="1"/>
  <c r="G32" i="248" s="1"/>
  <c r="G33" i="248" s="1"/>
  <c r="G34" i="248" s="1"/>
  <c r="G35" i="248" s="1"/>
  <c r="G36" i="248" s="1"/>
  <c r="G37" i="248" s="1"/>
  <c r="G38" i="248" s="1"/>
  <c r="G39" i="248" s="1"/>
  <c r="H40" i="248"/>
  <c r="E40" i="248"/>
  <c r="I40" i="248"/>
  <c r="D15" i="244"/>
  <c r="S3" i="242" s="1"/>
  <c r="O15" i="242" s="1"/>
  <c r="P15" i="242" s="1"/>
  <c r="S15" i="242" s="1"/>
  <c r="D10" i="244"/>
  <c r="H33" i="227"/>
  <c r="H34" i="227"/>
  <c r="H35" i="227"/>
  <c r="H36" i="227"/>
  <c r="H37" i="227"/>
  <c r="H38" i="227"/>
  <c r="H39" i="227"/>
  <c r="H40" i="227"/>
  <c r="H41" i="227"/>
  <c r="H42" i="227"/>
  <c r="H43" i="227"/>
  <c r="H44" i="227"/>
  <c r="H45" i="227"/>
  <c r="H46" i="227"/>
  <c r="H47" i="227"/>
  <c r="H48" i="227"/>
  <c r="H49" i="227"/>
  <c r="H50" i="227"/>
  <c r="H51" i="227"/>
  <c r="H52" i="227"/>
  <c r="H53" i="227"/>
  <c r="H54" i="227"/>
  <c r="H55" i="227"/>
  <c r="H56" i="227"/>
  <c r="H57" i="227"/>
  <c r="H58" i="227"/>
  <c r="H59" i="227"/>
  <c r="H60" i="227"/>
  <c r="H61" i="227"/>
  <c r="H62" i="227"/>
  <c r="H63" i="227"/>
  <c r="H64" i="227"/>
  <c r="H65" i="227"/>
  <c r="H66" i="227"/>
  <c r="H32" i="227"/>
  <c r="H32" i="229"/>
  <c r="H33" i="229"/>
  <c r="H34" i="229"/>
  <c r="H35" i="229"/>
  <c r="H36" i="229"/>
  <c r="H37" i="229"/>
  <c r="H38" i="229"/>
  <c r="H39" i="229"/>
  <c r="H40" i="229"/>
  <c r="H41" i="229"/>
  <c r="H42" i="229"/>
  <c r="H43" i="229"/>
  <c r="H44" i="229"/>
  <c r="H45" i="229"/>
  <c r="H46" i="229"/>
  <c r="H47" i="229"/>
  <c r="H48" i="229"/>
  <c r="H49" i="229"/>
  <c r="H50" i="229"/>
  <c r="H51" i="229"/>
  <c r="H52" i="229"/>
  <c r="H53" i="229"/>
  <c r="H54" i="229"/>
  <c r="H55" i="229"/>
  <c r="H56" i="229"/>
  <c r="H57" i="229"/>
  <c r="H58" i="229"/>
  <c r="H59" i="229"/>
  <c r="H60" i="229"/>
  <c r="H61" i="229"/>
  <c r="H62" i="229"/>
  <c r="H63" i="229"/>
  <c r="H64" i="229"/>
  <c r="H65" i="229"/>
  <c r="H31" i="229"/>
  <c r="H32" i="225"/>
  <c r="H56" i="225"/>
  <c r="H57" i="225"/>
  <c r="H58" i="225"/>
  <c r="H59" i="225"/>
  <c r="H60" i="225"/>
  <c r="H61" i="225"/>
  <c r="H62" i="225"/>
  <c r="H63" i="225"/>
  <c r="H64" i="225"/>
  <c r="H65" i="225"/>
  <c r="H31" i="225"/>
  <c r="U15" i="242" l="1"/>
  <c r="G31" i="225" s="1"/>
  <c r="T15" i="242"/>
  <c r="G32" i="227" s="1"/>
  <c r="M7" i="227"/>
  <c r="M6" i="227" s="1"/>
  <c r="N7" i="227"/>
  <c r="O7" i="227"/>
  <c r="P7" i="227"/>
  <c r="Q7" i="227"/>
  <c r="R7" i="227"/>
  <c r="S7" i="227"/>
  <c r="T7" i="227"/>
  <c r="U7" i="227"/>
  <c r="V7" i="227"/>
  <c r="W7" i="227"/>
  <c r="X7" i="227"/>
  <c r="Y7" i="227"/>
  <c r="Z7" i="227"/>
  <c r="AA7" i="227"/>
  <c r="AB7" i="227"/>
  <c r="AC7" i="227"/>
  <c r="AD7" i="227"/>
  <c r="AE7" i="227"/>
  <c r="AF7" i="227"/>
  <c r="AG7" i="227"/>
  <c r="AH7" i="227"/>
  <c r="AI7" i="227"/>
  <c r="AJ7" i="227"/>
  <c r="AK7" i="227"/>
  <c r="AL7" i="227"/>
  <c r="AM7" i="227"/>
  <c r="AN7" i="227"/>
  <c r="AO7" i="227"/>
  <c r="AP7" i="227"/>
  <c r="AQ7" i="227"/>
  <c r="AR7" i="227"/>
  <c r="AS7" i="227"/>
  <c r="AT7" i="227"/>
  <c r="AU7" i="227"/>
  <c r="AV7" i="227"/>
  <c r="AW7" i="227"/>
  <c r="AX7" i="227"/>
  <c r="AY7" i="227"/>
  <c r="AZ7" i="227"/>
  <c r="BA7" i="227"/>
  <c r="BB7" i="227"/>
  <c r="BC7" i="227"/>
  <c r="BD7" i="227"/>
  <c r="BE7" i="227"/>
  <c r="BF7" i="227"/>
  <c r="BG7" i="227"/>
  <c r="BH7" i="227"/>
  <c r="BI7" i="227"/>
  <c r="BJ7" i="227"/>
  <c r="BK7" i="227"/>
  <c r="BL7" i="227"/>
  <c r="BM7" i="227"/>
  <c r="BN7" i="227"/>
  <c r="BO7" i="227"/>
  <c r="BP7" i="227"/>
  <c r="BQ7" i="227"/>
  <c r="BR7" i="227"/>
  <c r="BS7" i="227"/>
  <c r="L7" i="227"/>
  <c r="M7" i="229"/>
  <c r="M6" i="229" s="1"/>
  <c r="N7" i="229"/>
  <c r="O7" i="229"/>
  <c r="P7" i="229"/>
  <c r="Q7" i="229"/>
  <c r="R7" i="229"/>
  <c r="S7" i="229"/>
  <c r="T7" i="229"/>
  <c r="U7" i="229"/>
  <c r="V7" i="229"/>
  <c r="W7" i="229"/>
  <c r="X7" i="229"/>
  <c r="Y7" i="229"/>
  <c r="Z7" i="229"/>
  <c r="AA7" i="229"/>
  <c r="AB7" i="229"/>
  <c r="AC7" i="229"/>
  <c r="AD7" i="229"/>
  <c r="AE7" i="229"/>
  <c r="AF7" i="229"/>
  <c r="AG7" i="229"/>
  <c r="AH7" i="229"/>
  <c r="AI7" i="229"/>
  <c r="AJ7" i="229"/>
  <c r="AK7" i="229"/>
  <c r="AL7" i="229"/>
  <c r="AM7" i="229"/>
  <c r="AN7" i="229"/>
  <c r="AO7" i="229"/>
  <c r="AP7" i="229"/>
  <c r="AQ7" i="229"/>
  <c r="AR7" i="229"/>
  <c r="AS7" i="229"/>
  <c r="AT7" i="229"/>
  <c r="AU7" i="229"/>
  <c r="AV7" i="229"/>
  <c r="AW7" i="229"/>
  <c r="AX7" i="229"/>
  <c r="AY7" i="229"/>
  <c r="AZ7" i="229"/>
  <c r="BA7" i="229"/>
  <c r="BB7" i="229"/>
  <c r="BC7" i="229"/>
  <c r="BD7" i="229"/>
  <c r="BE7" i="229"/>
  <c r="BF7" i="229"/>
  <c r="BG7" i="229"/>
  <c r="BH7" i="229"/>
  <c r="BI7" i="229"/>
  <c r="BJ7" i="229"/>
  <c r="BK7" i="229"/>
  <c r="BL7" i="229"/>
  <c r="BM7" i="229"/>
  <c r="BN7" i="229"/>
  <c r="BO7" i="229"/>
  <c r="BP7" i="229"/>
  <c r="BQ7" i="229"/>
  <c r="BR7" i="229"/>
  <c r="BS7" i="229"/>
  <c r="L7" i="229"/>
  <c r="M7" i="225"/>
  <c r="M6" i="225" s="1"/>
  <c r="N7" i="225"/>
  <c r="O7" i="225"/>
  <c r="P7" i="225"/>
  <c r="Q7" i="225"/>
  <c r="R7" i="225"/>
  <c r="S7" i="225"/>
  <c r="T7" i="225"/>
  <c r="U7" i="225"/>
  <c r="V7" i="225"/>
  <c r="W7" i="225"/>
  <c r="X7" i="225"/>
  <c r="Y7" i="225"/>
  <c r="Z7" i="225"/>
  <c r="AA7" i="225"/>
  <c r="AB7" i="225"/>
  <c r="AC7" i="225"/>
  <c r="AD7" i="225"/>
  <c r="AE7" i="225"/>
  <c r="AF7" i="225"/>
  <c r="AG7" i="225"/>
  <c r="AH7" i="225"/>
  <c r="AI7" i="225"/>
  <c r="AJ7" i="225"/>
  <c r="AK7" i="225"/>
  <c r="AL7" i="225"/>
  <c r="AM7" i="225"/>
  <c r="AN7" i="225"/>
  <c r="AO7" i="225"/>
  <c r="AP7" i="225"/>
  <c r="AQ7" i="225"/>
  <c r="AR7" i="225"/>
  <c r="AS7" i="225"/>
  <c r="AT7" i="225"/>
  <c r="AU7" i="225"/>
  <c r="AV7" i="225"/>
  <c r="AW7" i="225"/>
  <c r="AX7" i="225"/>
  <c r="AY7" i="225"/>
  <c r="AZ7" i="225"/>
  <c r="BA7" i="225"/>
  <c r="BB7" i="225"/>
  <c r="BC7" i="225"/>
  <c r="BD7" i="225"/>
  <c r="BE7" i="225"/>
  <c r="BF7" i="225"/>
  <c r="BG7" i="225"/>
  <c r="BH7" i="225"/>
  <c r="BI7" i="225"/>
  <c r="BJ7" i="225"/>
  <c r="BK7" i="225"/>
  <c r="BL7" i="225"/>
  <c r="BM7" i="225"/>
  <c r="BN7" i="225"/>
  <c r="BO7" i="225"/>
  <c r="BP7" i="225"/>
  <c r="BQ7" i="225"/>
  <c r="BR7" i="225"/>
  <c r="BS7" i="225"/>
  <c r="L10" i="225"/>
  <c r="L7" i="225"/>
  <c r="N6" i="229" l="1"/>
  <c r="O6" i="229" s="1"/>
  <c r="P6" i="229" s="1"/>
  <c r="Q6" i="229" s="1"/>
  <c r="R6" i="229" s="1"/>
  <c r="S6" i="229" s="1"/>
  <c r="T6" i="229" s="1"/>
  <c r="U6" i="229" s="1"/>
  <c r="V6" i="229" s="1"/>
  <c r="W6" i="229" s="1"/>
  <c r="X6" i="229" s="1"/>
  <c r="Y6" i="229" s="1"/>
  <c r="Z6" i="229" s="1"/>
  <c r="AA6" i="229" s="1"/>
  <c r="AB6" i="229" s="1"/>
  <c r="AC6" i="229" s="1"/>
  <c r="AD6" i="229" s="1"/>
  <c r="AE6" i="229" s="1"/>
  <c r="AF6" i="229" s="1"/>
  <c r="AG6" i="229" s="1"/>
  <c r="AH6" i="229" s="1"/>
  <c r="AI6" i="229" s="1"/>
  <c r="AJ6" i="229" s="1"/>
  <c r="AK6" i="229" s="1"/>
  <c r="AL6" i="229" s="1"/>
  <c r="AM6" i="229" s="1"/>
  <c r="AN6" i="229" s="1"/>
  <c r="AO6" i="229" s="1"/>
  <c r="AP6" i="229" s="1"/>
  <c r="AQ6" i="229" s="1"/>
  <c r="AR6" i="229" s="1"/>
  <c r="AS6" i="229" s="1"/>
  <c r="AT6" i="229" s="1"/>
  <c r="AU6" i="229" s="1"/>
  <c r="AV6" i="229" s="1"/>
  <c r="AW6" i="229" s="1"/>
  <c r="AX6" i="229" s="1"/>
  <c r="AY6" i="229" s="1"/>
  <c r="AZ6" i="229" s="1"/>
  <c r="BA6" i="229" s="1"/>
  <c r="BB6" i="229" s="1"/>
  <c r="BC6" i="229" s="1"/>
  <c r="BD6" i="229" s="1"/>
  <c r="BE6" i="229" s="1"/>
  <c r="BF6" i="229" s="1"/>
  <c r="BG6" i="229" s="1"/>
  <c r="BH6" i="229" s="1"/>
  <c r="BI6" i="229" s="1"/>
  <c r="BJ6" i="229" s="1"/>
  <c r="BK6" i="229" s="1"/>
  <c r="BL6" i="229" s="1"/>
  <c r="BM6" i="229" s="1"/>
  <c r="BN6" i="229" s="1"/>
  <c r="BO6" i="229" s="1"/>
  <c r="BP6" i="229" s="1"/>
  <c r="BQ6" i="229" s="1"/>
  <c r="BR6" i="229" s="1"/>
  <c r="BS6" i="229" s="1"/>
  <c r="N6" i="225"/>
  <c r="O6" i="225" s="1"/>
  <c r="P6" i="225" s="1"/>
  <c r="Q6" i="225" s="1"/>
  <c r="R6" i="225" s="1"/>
  <c r="S6" i="225" s="1"/>
  <c r="T6" i="225" s="1"/>
  <c r="U6" i="225" s="1"/>
  <c r="V6" i="225" s="1"/>
  <c r="W6" i="225" s="1"/>
  <c r="X6" i="225" s="1"/>
  <c r="Y6" i="225" s="1"/>
  <c r="Z6" i="225" s="1"/>
  <c r="AA6" i="225" s="1"/>
  <c r="AB6" i="225" s="1"/>
  <c r="AC6" i="225" s="1"/>
  <c r="AD6" i="225" s="1"/>
  <c r="AE6" i="225" s="1"/>
  <c r="AF6" i="225" s="1"/>
  <c r="AG6" i="225" s="1"/>
  <c r="AH6" i="225" s="1"/>
  <c r="AI6" i="225" s="1"/>
  <c r="AJ6" i="225" s="1"/>
  <c r="AK6" i="225" s="1"/>
  <c r="AL6" i="225" s="1"/>
  <c r="AM6" i="225" s="1"/>
  <c r="AN6" i="225" s="1"/>
  <c r="AO6" i="225" s="1"/>
  <c r="AP6" i="225" s="1"/>
  <c r="AQ6" i="225" s="1"/>
  <c r="AR6" i="225" s="1"/>
  <c r="AS6" i="225" s="1"/>
  <c r="AT6" i="225" s="1"/>
  <c r="AU6" i="225" s="1"/>
  <c r="AV6" i="225" s="1"/>
  <c r="AW6" i="225" s="1"/>
  <c r="AX6" i="225" s="1"/>
  <c r="AY6" i="225" s="1"/>
  <c r="AZ6" i="225" s="1"/>
  <c r="BA6" i="225" s="1"/>
  <c r="BB6" i="225" s="1"/>
  <c r="BC6" i="225" s="1"/>
  <c r="BD6" i="225" s="1"/>
  <c r="BE6" i="225" s="1"/>
  <c r="BF6" i="225" s="1"/>
  <c r="BG6" i="225" s="1"/>
  <c r="BH6" i="225" s="1"/>
  <c r="BI6" i="225" s="1"/>
  <c r="BJ6" i="225" s="1"/>
  <c r="BK6" i="225" s="1"/>
  <c r="BL6" i="225" s="1"/>
  <c r="BM6" i="225" s="1"/>
  <c r="BN6" i="225" s="1"/>
  <c r="BO6" i="225" s="1"/>
  <c r="BP6" i="225" s="1"/>
  <c r="BQ6" i="225" s="1"/>
  <c r="BR6" i="225" s="1"/>
  <c r="BS6" i="225" s="1"/>
  <c r="N6" i="227"/>
  <c r="O6" i="227" s="1"/>
  <c r="P6" i="227" s="1"/>
  <c r="Q6" i="227" s="1"/>
  <c r="R6" i="227" s="1"/>
  <c r="S6" i="227" s="1"/>
  <c r="T6" i="227" s="1"/>
  <c r="U6" i="227" s="1"/>
  <c r="V6" i="227" s="1"/>
  <c r="W6" i="227" s="1"/>
  <c r="X6" i="227" s="1"/>
  <c r="Y6" i="227" s="1"/>
  <c r="Z6" i="227" s="1"/>
  <c r="AA6" i="227" s="1"/>
  <c r="AB6" i="227" s="1"/>
  <c r="AC6" i="227" s="1"/>
  <c r="AD6" i="227" s="1"/>
  <c r="AE6" i="227" s="1"/>
  <c r="AF6" i="227" s="1"/>
  <c r="AG6" i="227" s="1"/>
  <c r="AH6" i="227" s="1"/>
  <c r="AI6" i="227" s="1"/>
  <c r="AJ6" i="227" s="1"/>
  <c r="AK6" i="227" s="1"/>
  <c r="AL6" i="227" s="1"/>
  <c r="AM6" i="227" s="1"/>
  <c r="AN6" i="227" s="1"/>
  <c r="AO6" i="227" s="1"/>
  <c r="AP6" i="227" s="1"/>
  <c r="AQ6" i="227" s="1"/>
  <c r="AR6" i="227" s="1"/>
  <c r="AS6" i="227" s="1"/>
  <c r="AT6" i="227" s="1"/>
  <c r="AU6" i="227" s="1"/>
  <c r="AV6" i="227" s="1"/>
  <c r="AW6" i="227" s="1"/>
  <c r="AX6" i="227" s="1"/>
  <c r="AY6" i="227" s="1"/>
  <c r="AZ6" i="227" s="1"/>
  <c r="BA6" i="227" s="1"/>
  <c r="BB6" i="227" s="1"/>
  <c r="BC6" i="227" s="1"/>
  <c r="BD6" i="227" s="1"/>
  <c r="BE6" i="227" s="1"/>
  <c r="BF6" i="227" s="1"/>
  <c r="BG6" i="227" s="1"/>
  <c r="BH6" i="227" s="1"/>
  <c r="BI6" i="227" s="1"/>
  <c r="BJ6" i="227" s="1"/>
  <c r="BK6" i="227" s="1"/>
  <c r="BL6" i="227" s="1"/>
  <c r="BM6" i="227" s="1"/>
  <c r="BN6" i="227" s="1"/>
  <c r="BO6" i="227" s="1"/>
  <c r="BP6" i="227" s="1"/>
  <c r="BQ6" i="227" s="1"/>
  <c r="BR6" i="227" s="1"/>
  <c r="BS6" i="227" s="1"/>
  <c r="G31" i="229"/>
  <c r="C9" i="244"/>
  <c r="B9" i="244"/>
  <c r="C8" i="244"/>
  <c r="B8" i="244"/>
  <c r="C7" i="244"/>
  <c r="B7" i="244"/>
  <c r="B10" i="244" l="1"/>
  <c r="C10" i="244"/>
  <c r="C20" i="244" s="1"/>
  <c r="B20" i="244" l="1"/>
  <c r="B33" i="244"/>
  <c r="C33" i="244"/>
  <c r="C34" i="244" s="1"/>
  <c r="B34" i="244"/>
  <c r="D29" i="244" l="1"/>
  <c r="B29" i="244" l="1"/>
  <c r="C29" i="244"/>
  <c r="C19" i="244" s="1"/>
  <c r="C21" i="244" s="1"/>
  <c r="B19" i="244" l="1"/>
  <c r="B21" i="244" s="1"/>
  <c r="C31" i="229" l="1"/>
  <c r="C31" i="225"/>
  <c r="B31" i="130" l="1"/>
  <c r="I14" i="242" l="1"/>
  <c r="K6" i="209" l="1"/>
  <c r="C19" i="211" l="1"/>
  <c r="C18" i="211"/>
  <c r="B5" i="227"/>
  <c r="D20" i="211"/>
  <c r="H7" i="211"/>
  <c r="H8" i="211"/>
  <c r="H6" i="211"/>
  <c r="D7" i="211"/>
  <c r="E7" i="211"/>
  <c r="F7" i="211"/>
  <c r="D8" i="211"/>
  <c r="E8" i="211"/>
  <c r="F8" i="211"/>
  <c r="F6" i="211"/>
  <c r="E6" i="211"/>
  <c r="D6" i="211"/>
  <c r="C7" i="211"/>
  <c r="B13" i="227" s="1"/>
  <c r="C8" i="211"/>
  <c r="B14" i="227" s="1"/>
  <c r="C6" i="211"/>
  <c r="B12" i="227" s="1"/>
  <c r="C14" i="210"/>
  <c r="C13" i="210"/>
  <c r="D7" i="210" l="1"/>
  <c r="E7" i="210"/>
  <c r="F7" i="210"/>
  <c r="C13" i="229" s="1"/>
  <c r="D13" i="229"/>
  <c r="H7" i="210"/>
  <c r="I13" i="229" s="1"/>
  <c r="J13" i="229" s="1"/>
  <c r="I7" i="210"/>
  <c r="L7" i="210"/>
  <c r="G13" i="229" s="1"/>
  <c r="M7" i="210"/>
  <c r="M6" i="210"/>
  <c r="L6" i="210"/>
  <c r="G12" i="229" s="1"/>
  <c r="H6" i="210"/>
  <c r="F6" i="210"/>
  <c r="C12" i="229" s="1"/>
  <c r="E6" i="210"/>
  <c r="D6" i="210"/>
  <c r="E13" i="229" l="1"/>
  <c r="M8" i="210"/>
  <c r="I8" i="211"/>
  <c r="C7" i="210"/>
  <c r="B13" i="229" s="1"/>
  <c r="K124" i="242" l="1"/>
  <c r="O124" i="242" s="1"/>
  <c r="K123" i="242"/>
  <c r="O123" i="242" s="1"/>
  <c r="K122" i="242"/>
  <c r="O122" i="242" s="1"/>
  <c r="K121" i="242"/>
  <c r="O121" i="242" s="1"/>
  <c r="K120" i="242"/>
  <c r="O120" i="242" s="1"/>
  <c r="K119" i="242"/>
  <c r="O119" i="242" s="1"/>
  <c r="K118" i="242"/>
  <c r="O118" i="242" s="1"/>
  <c r="K117" i="242"/>
  <c r="O117" i="242" s="1"/>
  <c r="K116" i="242"/>
  <c r="O116" i="242" s="1"/>
  <c r="K115" i="242"/>
  <c r="O115" i="242" s="1"/>
  <c r="K114" i="242"/>
  <c r="O114" i="242" s="1"/>
  <c r="K113" i="242"/>
  <c r="O113" i="242" s="1"/>
  <c r="K112" i="242"/>
  <c r="O112" i="242" s="1"/>
  <c r="K111" i="242"/>
  <c r="O111" i="242" s="1"/>
  <c r="K110" i="242"/>
  <c r="O110" i="242" s="1"/>
  <c r="K109" i="242"/>
  <c r="O109" i="242" s="1"/>
  <c r="K108" i="242"/>
  <c r="O108" i="242" s="1"/>
  <c r="K107" i="242"/>
  <c r="O107" i="242" s="1"/>
  <c r="K106" i="242"/>
  <c r="O106" i="242" s="1"/>
  <c r="K105" i="242"/>
  <c r="O105" i="242" s="1"/>
  <c r="K104" i="242"/>
  <c r="O104" i="242" s="1"/>
  <c r="K103" i="242"/>
  <c r="O103" i="242" s="1"/>
  <c r="K102" i="242"/>
  <c r="O102" i="242" s="1"/>
  <c r="K101" i="242"/>
  <c r="O101" i="242" s="1"/>
  <c r="K100" i="242"/>
  <c r="O100" i="242" s="1"/>
  <c r="K99" i="242"/>
  <c r="O99" i="242" s="1"/>
  <c r="K98" i="242"/>
  <c r="O98" i="242" s="1"/>
  <c r="K97" i="242"/>
  <c r="O97" i="242" s="1"/>
  <c r="K96" i="242"/>
  <c r="O96" i="242" s="1"/>
  <c r="K95" i="242"/>
  <c r="O95" i="242" s="1"/>
  <c r="K94" i="242"/>
  <c r="O94" i="242" s="1"/>
  <c r="K93" i="242"/>
  <c r="O93" i="242" s="1"/>
  <c r="K92" i="242"/>
  <c r="O92" i="242" s="1"/>
  <c r="K91" i="242"/>
  <c r="O91" i="242" s="1"/>
  <c r="K90" i="242"/>
  <c r="O90" i="242" s="1"/>
  <c r="K89" i="242"/>
  <c r="O89" i="242" s="1"/>
  <c r="K88" i="242"/>
  <c r="O88" i="242" s="1"/>
  <c r="K87" i="242"/>
  <c r="O87" i="242" s="1"/>
  <c r="K86" i="242"/>
  <c r="O86" i="242" s="1"/>
  <c r="K85" i="242"/>
  <c r="O85" i="242" s="1"/>
  <c r="K84" i="242"/>
  <c r="O84" i="242" s="1"/>
  <c r="K83" i="242"/>
  <c r="O83" i="242" s="1"/>
  <c r="K82" i="242"/>
  <c r="O82" i="242" s="1"/>
  <c r="K81" i="242"/>
  <c r="O81" i="242" s="1"/>
  <c r="K80" i="242"/>
  <c r="O80" i="242" s="1"/>
  <c r="K79" i="242"/>
  <c r="O79" i="242" s="1"/>
  <c r="K78" i="242"/>
  <c r="O78" i="242" s="1"/>
  <c r="K77" i="242"/>
  <c r="O77" i="242" s="1"/>
  <c r="K76" i="242"/>
  <c r="O76" i="242" s="1"/>
  <c r="K75" i="242"/>
  <c r="O75" i="242" s="1"/>
  <c r="K74" i="242"/>
  <c r="O74" i="242" s="1"/>
  <c r="K73" i="242"/>
  <c r="O73" i="242" s="1"/>
  <c r="K72" i="242"/>
  <c r="O72" i="242" s="1"/>
  <c r="K71" i="242"/>
  <c r="O71" i="242" s="1"/>
  <c r="K70" i="242"/>
  <c r="O70" i="242" s="1"/>
  <c r="K69" i="242"/>
  <c r="O69" i="242" s="1"/>
  <c r="K68" i="242"/>
  <c r="O68" i="242" s="1"/>
  <c r="K67" i="242"/>
  <c r="O67" i="242" s="1"/>
  <c r="K66" i="242"/>
  <c r="O66" i="242" s="1"/>
  <c r="K65" i="242"/>
  <c r="O65" i="242" s="1"/>
  <c r="K64" i="242"/>
  <c r="O64" i="242" s="1"/>
  <c r="K63" i="242"/>
  <c r="O63" i="242" s="1"/>
  <c r="K62" i="242"/>
  <c r="O62" i="242" s="1"/>
  <c r="K61" i="242"/>
  <c r="O61" i="242" s="1"/>
  <c r="K60" i="242"/>
  <c r="O60" i="242" s="1"/>
  <c r="K59" i="242"/>
  <c r="O59" i="242" s="1"/>
  <c r="K58" i="242"/>
  <c r="O58" i="242" s="1"/>
  <c r="K57" i="242"/>
  <c r="O57" i="242" s="1"/>
  <c r="K56" i="242"/>
  <c r="O56" i="242" s="1"/>
  <c r="K55" i="242"/>
  <c r="O55" i="242" s="1"/>
  <c r="K54" i="242"/>
  <c r="O54" i="242" s="1"/>
  <c r="K53" i="242"/>
  <c r="O53" i="242" s="1"/>
  <c r="K52" i="242"/>
  <c r="O52" i="242" s="1"/>
  <c r="K51" i="242"/>
  <c r="O51" i="242" s="1"/>
  <c r="K50" i="242"/>
  <c r="O50" i="242" s="1"/>
  <c r="K49" i="242"/>
  <c r="O49" i="242" s="1"/>
  <c r="K48" i="242"/>
  <c r="O48" i="242" s="1"/>
  <c r="K47" i="242"/>
  <c r="O47" i="242" s="1"/>
  <c r="K46" i="242"/>
  <c r="O46" i="242" s="1"/>
  <c r="K45" i="242"/>
  <c r="O45" i="242" s="1"/>
  <c r="K44" i="242"/>
  <c r="O44" i="242" s="1"/>
  <c r="K43" i="242"/>
  <c r="O43" i="242" s="1"/>
  <c r="K42" i="242"/>
  <c r="O42" i="242" s="1"/>
  <c r="K41" i="242"/>
  <c r="O41" i="242" s="1"/>
  <c r="K40" i="242"/>
  <c r="O40" i="242" s="1"/>
  <c r="K39" i="242"/>
  <c r="O39" i="242" s="1"/>
  <c r="K38" i="242"/>
  <c r="O38" i="242" s="1"/>
  <c r="K37" i="242"/>
  <c r="O37" i="242" s="1"/>
  <c r="K36" i="242"/>
  <c r="O36" i="242" s="1"/>
  <c r="K35" i="242"/>
  <c r="O35" i="242" s="1"/>
  <c r="K34" i="242"/>
  <c r="O34" i="242" s="1"/>
  <c r="K33" i="242"/>
  <c r="O33" i="242" s="1"/>
  <c r="K32" i="242"/>
  <c r="O32" i="242" s="1"/>
  <c r="K31" i="242"/>
  <c r="O31" i="242" s="1"/>
  <c r="K30" i="242"/>
  <c r="O30" i="242" s="1"/>
  <c r="K29" i="242"/>
  <c r="O29" i="242" s="1"/>
  <c r="K28" i="242"/>
  <c r="O28" i="242" s="1"/>
  <c r="K27" i="242"/>
  <c r="O27" i="242" s="1"/>
  <c r="K26" i="242"/>
  <c r="O26" i="242" s="1"/>
  <c r="K25" i="242"/>
  <c r="O25" i="242" s="1"/>
  <c r="K24" i="242"/>
  <c r="O24" i="242" s="1"/>
  <c r="K23" i="242"/>
  <c r="O23" i="242" s="1"/>
  <c r="K22" i="242"/>
  <c r="O22" i="242" s="1"/>
  <c r="K21" i="242"/>
  <c r="O21" i="242" s="1"/>
  <c r="K20" i="242"/>
  <c r="O20" i="242" s="1"/>
  <c r="K19" i="242"/>
  <c r="O19" i="242" s="1"/>
  <c r="K18" i="242"/>
  <c r="O18" i="242" s="1"/>
  <c r="K17" i="242"/>
  <c r="O17" i="242" s="1"/>
  <c r="K16" i="242"/>
  <c r="O16" i="242" s="1"/>
  <c r="P16" i="242" s="1"/>
  <c r="S16" i="242" s="1"/>
  <c r="K15" i="242"/>
  <c r="E15" i="242"/>
  <c r="D15" i="242" s="1"/>
  <c r="K14" i="242"/>
  <c r="J14" i="242"/>
  <c r="J15" i="242" s="1"/>
  <c r="J16" i="242" s="1"/>
  <c r="J17" i="242" s="1"/>
  <c r="J18" i="242" s="1"/>
  <c r="J19" i="242" s="1"/>
  <c r="J20" i="242" s="1"/>
  <c r="J21" i="242" s="1"/>
  <c r="J22" i="242" s="1"/>
  <c r="J23" i="242" s="1"/>
  <c r="J24" i="242" s="1"/>
  <c r="J25" i="242" s="1"/>
  <c r="J26" i="242" s="1"/>
  <c r="J27" i="242" s="1"/>
  <c r="J28" i="242" s="1"/>
  <c r="J29" i="242" s="1"/>
  <c r="J30" i="242" s="1"/>
  <c r="J31" i="242" s="1"/>
  <c r="J32" i="242" s="1"/>
  <c r="J33" i="242" s="1"/>
  <c r="J34" i="242" s="1"/>
  <c r="J35" i="242" s="1"/>
  <c r="J36" i="242" s="1"/>
  <c r="J37" i="242" s="1"/>
  <c r="J38" i="242" s="1"/>
  <c r="J39" i="242" s="1"/>
  <c r="J40" i="242" s="1"/>
  <c r="J41" i="242" s="1"/>
  <c r="J42" i="242" s="1"/>
  <c r="J43" i="242" s="1"/>
  <c r="J44" i="242" s="1"/>
  <c r="J45" i="242" s="1"/>
  <c r="J46" i="242" s="1"/>
  <c r="J47" i="242" s="1"/>
  <c r="J48" i="242" s="1"/>
  <c r="J49" i="242" s="1"/>
  <c r="J50" i="242" s="1"/>
  <c r="J51" i="242" s="1"/>
  <c r="J52" i="242" s="1"/>
  <c r="J53" i="242" s="1"/>
  <c r="J54" i="242" s="1"/>
  <c r="J55" i="242" s="1"/>
  <c r="J56" i="242" s="1"/>
  <c r="J57" i="242" s="1"/>
  <c r="J58" i="242" s="1"/>
  <c r="J59" i="242" s="1"/>
  <c r="J60" i="242" s="1"/>
  <c r="J61" i="242" s="1"/>
  <c r="J62" i="242" s="1"/>
  <c r="J63" i="242" s="1"/>
  <c r="J64" i="242" s="1"/>
  <c r="J65" i="242" s="1"/>
  <c r="J66" i="242" s="1"/>
  <c r="J67" i="242" s="1"/>
  <c r="J68" i="242" s="1"/>
  <c r="J69" i="242" s="1"/>
  <c r="J70" i="242" s="1"/>
  <c r="J71" i="242" s="1"/>
  <c r="J72" i="242" s="1"/>
  <c r="J73" i="242" s="1"/>
  <c r="J74" i="242" s="1"/>
  <c r="J75" i="242" s="1"/>
  <c r="J76" i="242" s="1"/>
  <c r="J77" i="242" s="1"/>
  <c r="J78" i="242" s="1"/>
  <c r="J79" i="242" s="1"/>
  <c r="J80" i="242" s="1"/>
  <c r="J81" i="242" s="1"/>
  <c r="J82" i="242" s="1"/>
  <c r="J83" i="242" s="1"/>
  <c r="J84" i="242" s="1"/>
  <c r="J85" i="242" s="1"/>
  <c r="J86" i="242" s="1"/>
  <c r="J87" i="242" s="1"/>
  <c r="J88" i="242" s="1"/>
  <c r="J89" i="242" s="1"/>
  <c r="J90" i="242" s="1"/>
  <c r="J91" i="242" s="1"/>
  <c r="J92" i="242" s="1"/>
  <c r="J93" i="242" s="1"/>
  <c r="J94" i="242" s="1"/>
  <c r="J95" i="242" s="1"/>
  <c r="J96" i="242" s="1"/>
  <c r="J97" i="242" s="1"/>
  <c r="J98" i="242" s="1"/>
  <c r="J99" i="242" s="1"/>
  <c r="J100" i="242" s="1"/>
  <c r="J101" i="242" s="1"/>
  <c r="J102" i="242" s="1"/>
  <c r="J103" i="242" s="1"/>
  <c r="J104" i="242" s="1"/>
  <c r="J105" i="242" s="1"/>
  <c r="J106" i="242" s="1"/>
  <c r="J107" i="242" s="1"/>
  <c r="J108" i="242" s="1"/>
  <c r="J109" i="242" s="1"/>
  <c r="J110" i="242" s="1"/>
  <c r="J111" i="242" s="1"/>
  <c r="J112" i="242" s="1"/>
  <c r="J113" i="242" s="1"/>
  <c r="J114" i="242" s="1"/>
  <c r="J115" i="242" s="1"/>
  <c r="J116" i="242" s="1"/>
  <c r="J117" i="242" s="1"/>
  <c r="J118" i="242" s="1"/>
  <c r="J119" i="242" s="1"/>
  <c r="J120" i="242" s="1"/>
  <c r="J121" i="242" s="1"/>
  <c r="J122" i="242" s="1"/>
  <c r="J123" i="242" s="1"/>
  <c r="J124" i="242" s="1"/>
  <c r="I15" i="242"/>
  <c r="I16" i="242" s="1"/>
  <c r="I17" i="242" s="1"/>
  <c r="I18" i="242" s="1"/>
  <c r="I19" i="242" s="1"/>
  <c r="I20" i="242" s="1"/>
  <c r="I21" i="242" s="1"/>
  <c r="I22" i="242" s="1"/>
  <c r="I23" i="242" s="1"/>
  <c r="I24" i="242" s="1"/>
  <c r="I25" i="242" s="1"/>
  <c r="I26" i="242" s="1"/>
  <c r="I27" i="242" s="1"/>
  <c r="I28" i="242" s="1"/>
  <c r="I29" i="242" s="1"/>
  <c r="I30" i="242" s="1"/>
  <c r="I31" i="242" s="1"/>
  <c r="I32" i="242" s="1"/>
  <c r="I33" i="242" s="1"/>
  <c r="I34" i="242" s="1"/>
  <c r="I35" i="242" s="1"/>
  <c r="I36" i="242" s="1"/>
  <c r="I37" i="242" s="1"/>
  <c r="I38" i="242" s="1"/>
  <c r="I39" i="242" s="1"/>
  <c r="I40" i="242" s="1"/>
  <c r="I41" i="242" s="1"/>
  <c r="I42" i="242" s="1"/>
  <c r="I43" i="242" s="1"/>
  <c r="I44" i="242" s="1"/>
  <c r="I45" i="242" s="1"/>
  <c r="I46" i="242" s="1"/>
  <c r="I47" i="242" s="1"/>
  <c r="I48" i="242" s="1"/>
  <c r="I49" i="242" s="1"/>
  <c r="I50" i="242" s="1"/>
  <c r="I51" i="242" s="1"/>
  <c r="I52" i="242" s="1"/>
  <c r="I53" i="242" s="1"/>
  <c r="I54" i="242" s="1"/>
  <c r="I55" i="242" s="1"/>
  <c r="I56" i="242" s="1"/>
  <c r="I57" i="242" s="1"/>
  <c r="I58" i="242" s="1"/>
  <c r="I59" i="242" s="1"/>
  <c r="I60" i="242" s="1"/>
  <c r="I61" i="242" s="1"/>
  <c r="I62" i="242" s="1"/>
  <c r="I63" i="242" s="1"/>
  <c r="I64" i="242" s="1"/>
  <c r="I65" i="242" s="1"/>
  <c r="I66" i="242" s="1"/>
  <c r="I67" i="242" s="1"/>
  <c r="I68" i="242" s="1"/>
  <c r="I69" i="242" s="1"/>
  <c r="I70" i="242" s="1"/>
  <c r="I71" i="242" s="1"/>
  <c r="I72" i="242" s="1"/>
  <c r="I73" i="242" s="1"/>
  <c r="I74" i="242" s="1"/>
  <c r="I75" i="242" s="1"/>
  <c r="I76" i="242" s="1"/>
  <c r="I77" i="242" s="1"/>
  <c r="I78" i="242" s="1"/>
  <c r="I79" i="242" s="1"/>
  <c r="I80" i="242" s="1"/>
  <c r="I81" i="242" s="1"/>
  <c r="I82" i="242" s="1"/>
  <c r="I83" i="242" s="1"/>
  <c r="I84" i="242" s="1"/>
  <c r="I85" i="242" s="1"/>
  <c r="I86" i="242" s="1"/>
  <c r="I87" i="242" s="1"/>
  <c r="I88" i="242" s="1"/>
  <c r="I89" i="242" s="1"/>
  <c r="I90" i="242" s="1"/>
  <c r="I91" i="242" s="1"/>
  <c r="I92" i="242" s="1"/>
  <c r="I93" i="242" s="1"/>
  <c r="I94" i="242" s="1"/>
  <c r="I95" i="242" s="1"/>
  <c r="I96" i="242" s="1"/>
  <c r="I97" i="242" s="1"/>
  <c r="I98" i="242" s="1"/>
  <c r="I99" i="242" s="1"/>
  <c r="I100" i="242" s="1"/>
  <c r="I101" i="242" s="1"/>
  <c r="I102" i="242" s="1"/>
  <c r="I103" i="242" s="1"/>
  <c r="I104" i="242" s="1"/>
  <c r="I105" i="242" s="1"/>
  <c r="I106" i="242" s="1"/>
  <c r="I107" i="242" s="1"/>
  <c r="I108" i="242" s="1"/>
  <c r="I109" i="242" s="1"/>
  <c r="I110" i="242" s="1"/>
  <c r="I111" i="242" s="1"/>
  <c r="I112" i="242" s="1"/>
  <c r="I113" i="242" s="1"/>
  <c r="I114" i="242" s="1"/>
  <c r="I115" i="242" s="1"/>
  <c r="I116" i="242" s="1"/>
  <c r="I117" i="242" s="1"/>
  <c r="I118" i="242" s="1"/>
  <c r="I119" i="242" s="1"/>
  <c r="I120" i="242" s="1"/>
  <c r="I121" i="242" s="1"/>
  <c r="I122" i="242" s="1"/>
  <c r="I123" i="242" s="1"/>
  <c r="I124" i="242" s="1"/>
  <c r="C14" i="242" l="1"/>
  <c r="E16" i="242"/>
  <c r="L15" i="242"/>
  <c r="L16" i="242" s="1"/>
  <c r="L17" i="242" l="1"/>
  <c r="E17" i="242"/>
  <c r="E18" i="242" s="1"/>
  <c r="D16" i="242"/>
  <c r="T16" i="242" l="1"/>
  <c r="G33" i="227" s="1"/>
  <c r="U16" i="242"/>
  <c r="G32" i="225" s="1"/>
  <c r="P17" i="242"/>
  <c r="S17" i="242" s="1"/>
  <c r="L18" i="242"/>
  <c r="C15" i="242"/>
  <c r="E19" i="242"/>
  <c r="E20" i="242" s="1"/>
  <c r="E21" i="242" s="1"/>
  <c r="D17" i="242"/>
  <c r="G32" i="229" l="1"/>
  <c r="T17" i="242"/>
  <c r="G34" i="227" s="1"/>
  <c r="U17" i="242"/>
  <c r="G33" i="225" s="1"/>
  <c r="P18" i="242"/>
  <c r="S18" i="242" s="1"/>
  <c r="L19" i="242"/>
  <c r="D18" i="242"/>
  <c r="C16" i="242"/>
  <c r="E22" i="242"/>
  <c r="G33" i="229" l="1"/>
  <c r="T18" i="242"/>
  <c r="G35" i="227" s="1"/>
  <c r="U18" i="242"/>
  <c r="G34" i="225" s="1"/>
  <c r="P19" i="242"/>
  <c r="S19" i="242" s="1"/>
  <c r="L20" i="242"/>
  <c r="D19" i="242"/>
  <c r="C17" i="242"/>
  <c r="E23" i="242"/>
  <c r="G34" i="229" l="1"/>
  <c r="T19" i="242"/>
  <c r="G36" i="227" s="1"/>
  <c r="U19" i="242"/>
  <c r="G35" i="225" s="1"/>
  <c r="P20" i="242"/>
  <c r="S20" i="242" s="1"/>
  <c r="L21" i="242"/>
  <c r="D20" i="242"/>
  <c r="C18" i="242"/>
  <c r="E24" i="242"/>
  <c r="G35" i="229" l="1"/>
  <c r="T20" i="242"/>
  <c r="G37" i="227" s="1"/>
  <c r="U20" i="242"/>
  <c r="G36" i="225" s="1"/>
  <c r="P21" i="242"/>
  <c r="S21" i="242" s="1"/>
  <c r="L22" i="242"/>
  <c r="D21" i="242"/>
  <c r="C20" i="242" s="1"/>
  <c r="C19" i="242"/>
  <c r="E25" i="242"/>
  <c r="G36" i="229" l="1"/>
  <c r="U21" i="242"/>
  <c r="G37" i="225" s="1"/>
  <c r="T21" i="242"/>
  <c r="G38" i="227" s="1"/>
  <c r="P22" i="242"/>
  <c r="S22" i="242" s="1"/>
  <c r="L23" i="242"/>
  <c r="D22" i="242"/>
  <c r="C21" i="242" s="1"/>
  <c r="E26" i="242"/>
  <c r="G37" i="229" l="1"/>
  <c r="T22" i="242"/>
  <c r="G39" i="227" s="1"/>
  <c r="U22" i="242"/>
  <c r="G38" i="225" s="1"/>
  <c r="P23" i="242"/>
  <c r="S23" i="242" s="1"/>
  <c r="D23" i="242"/>
  <c r="D24" i="242" s="1"/>
  <c r="L24" i="242"/>
  <c r="E27" i="242"/>
  <c r="C22" i="242"/>
  <c r="G38" i="229" l="1"/>
  <c r="T23" i="242"/>
  <c r="G40" i="227" s="1"/>
  <c r="U23" i="242"/>
  <c r="G39" i="225" s="1"/>
  <c r="P24" i="242"/>
  <c r="S24" i="242" s="1"/>
  <c r="L25" i="242"/>
  <c r="C23" i="242"/>
  <c r="D25" i="242"/>
  <c r="E28" i="242"/>
  <c r="G39" i="229" l="1"/>
  <c r="T24" i="242"/>
  <c r="G41" i="227" s="1"/>
  <c r="U24" i="242"/>
  <c r="G40" i="225" s="1"/>
  <c r="P25" i="242"/>
  <c r="S25" i="242" s="1"/>
  <c r="L26" i="242"/>
  <c r="C24" i="242"/>
  <c r="D26" i="242"/>
  <c r="E29" i="242"/>
  <c r="G40" i="229" l="1"/>
  <c r="U25" i="242"/>
  <c r="G41" i="225" s="1"/>
  <c r="T25" i="242"/>
  <c r="G42" i="227" s="1"/>
  <c r="P26" i="242"/>
  <c r="S26" i="242" s="1"/>
  <c r="L27" i="242"/>
  <c r="E30" i="242"/>
  <c r="C25" i="242"/>
  <c r="D27" i="242"/>
  <c r="G41" i="229" l="1"/>
  <c r="U26" i="242"/>
  <c r="G42" i="225" s="1"/>
  <c r="T26" i="242"/>
  <c r="G43" i="227" s="1"/>
  <c r="P27" i="242"/>
  <c r="S27" i="242" s="1"/>
  <c r="L28" i="242"/>
  <c r="C26" i="242"/>
  <c r="D28" i="242"/>
  <c r="E31" i="242"/>
  <c r="G42" i="229" l="1"/>
  <c r="T27" i="242"/>
  <c r="G44" i="227" s="1"/>
  <c r="U27" i="242"/>
  <c r="G43" i="225" s="1"/>
  <c r="P28" i="242"/>
  <c r="S28" i="242" s="1"/>
  <c r="L29" i="242"/>
  <c r="E32" i="242"/>
  <c r="C27" i="242"/>
  <c r="D29" i="242"/>
  <c r="G43" i="229" l="1"/>
  <c r="T28" i="242"/>
  <c r="G45" i="227" s="1"/>
  <c r="U28" i="242"/>
  <c r="G44" i="225" s="1"/>
  <c r="P29" i="242"/>
  <c r="S29" i="242" s="1"/>
  <c r="L30" i="242"/>
  <c r="C28" i="242"/>
  <c r="D30" i="242"/>
  <c r="E33" i="242"/>
  <c r="G44" i="229" l="1"/>
  <c r="T29" i="242"/>
  <c r="G46" i="227" s="1"/>
  <c r="U29" i="242"/>
  <c r="G45" i="225" s="1"/>
  <c r="P30" i="242"/>
  <c r="S30" i="242" s="1"/>
  <c r="L31" i="242"/>
  <c r="E34" i="242"/>
  <c r="C29" i="242"/>
  <c r="D31" i="242"/>
  <c r="G45" i="229" l="1"/>
  <c r="U30" i="242"/>
  <c r="G46" i="225" s="1"/>
  <c r="T30" i="242"/>
  <c r="G47" i="227" s="1"/>
  <c r="P31" i="242"/>
  <c r="S31" i="242" s="1"/>
  <c r="L32" i="242"/>
  <c r="C30" i="242"/>
  <c r="D32" i="242"/>
  <c r="E35" i="242"/>
  <c r="G46" i="229" l="1"/>
  <c r="U31" i="242"/>
  <c r="G47" i="225" s="1"/>
  <c r="T31" i="242"/>
  <c r="G48" i="227" s="1"/>
  <c r="P32" i="242"/>
  <c r="S32" i="242" s="1"/>
  <c r="L33" i="242"/>
  <c r="E36" i="242"/>
  <c r="C31" i="242"/>
  <c r="D33" i="242"/>
  <c r="G47" i="229" l="1"/>
  <c r="T32" i="242"/>
  <c r="G49" i="227" s="1"/>
  <c r="U32" i="242"/>
  <c r="G48" i="225" s="1"/>
  <c r="P33" i="242"/>
  <c r="S33" i="242" s="1"/>
  <c r="L34" i="242"/>
  <c r="C32" i="242"/>
  <c r="D34" i="242"/>
  <c r="E37" i="242"/>
  <c r="G48" i="229" l="1"/>
  <c r="U33" i="242"/>
  <c r="G49" i="225" s="1"/>
  <c r="T33" i="242"/>
  <c r="G50" i="227" s="1"/>
  <c r="P34" i="242"/>
  <c r="S34" i="242" s="1"/>
  <c r="L35" i="242"/>
  <c r="E38" i="242"/>
  <c r="C33" i="242"/>
  <c r="D35" i="242"/>
  <c r="G49" i="229" l="1"/>
  <c r="T34" i="242"/>
  <c r="G51" i="227" s="1"/>
  <c r="U34" i="242"/>
  <c r="G50" i="225" s="1"/>
  <c r="P35" i="242"/>
  <c r="S35" i="242" s="1"/>
  <c r="L36" i="242"/>
  <c r="E39" i="242"/>
  <c r="C34" i="242"/>
  <c r="D36" i="242"/>
  <c r="G50" i="229" l="1"/>
  <c r="U35" i="242"/>
  <c r="G51" i="225" s="1"/>
  <c r="T35" i="242"/>
  <c r="G52" i="227" s="1"/>
  <c r="P36" i="242"/>
  <c r="S36" i="242" s="1"/>
  <c r="L37" i="242"/>
  <c r="C35" i="242"/>
  <c r="D37" i="242"/>
  <c r="E40" i="242"/>
  <c r="G51" i="229" l="1"/>
  <c r="U36" i="242"/>
  <c r="G52" i="225" s="1"/>
  <c r="T36" i="242"/>
  <c r="G53" i="227" s="1"/>
  <c r="P37" i="242"/>
  <c r="S37" i="242" s="1"/>
  <c r="L38" i="242"/>
  <c r="E41" i="242"/>
  <c r="C36" i="242"/>
  <c r="D38" i="242"/>
  <c r="G52" i="229" l="1"/>
  <c r="T37" i="242"/>
  <c r="G54" i="227" s="1"/>
  <c r="U37" i="242"/>
  <c r="G53" i="225" s="1"/>
  <c r="P38" i="242"/>
  <c r="S38" i="242" s="1"/>
  <c r="L39" i="242"/>
  <c r="C37" i="242"/>
  <c r="D39" i="242"/>
  <c r="E42" i="242"/>
  <c r="G53" i="229" l="1"/>
  <c r="U38" i="242"/>
  <c r="G54" i="225" s="1"/>
  <c r="T38" i="242"/>
  <c r="G55" i="227" s="1"/>
  <c r="P39" i="242"/>
  <c r="S39" i="242" s="1"/>
  <c r="L40" i="242"/>
  <c r="E43" i="242"/>
  <c r="C38" i="242"/>
  <c r="D40" i="242"/>
  <c r="G54" i="229" l="1"/>
  <c r="T39" i="242"/>
  <c r="G56" i="227" s="1"/>
  <c r="U39" i="242"/>
  <c r="G55" i="225" s="1"/>
  <c r="P40" i="242"/>
  <c r="S40" i="242" s="1"/>
  <c r="L41" i="242"/>
  <c r="E44" i="242"/>
  <c r="C39" i="242"/>
  <c r="D41" i="242"/>
  <c r="G55" i="229" l="1"/>
  <c r="T40" i="242"/>
  <c r="G57" i="227" s="1"/>
  <c r="U40" i="242"/>
  <c r="G56" i="225" s="1"/>
  <c r="P41" i="242"/>
  <c r="L42" i="242"/>
  <c r="C40" i="242"/>
  <c r="D42" i="242"/>
  <c r="E45" i="242"/>
  <c r="G56" i="229" l="1"/>
  <c r="U41" i="242"/>
  <c r="G57" i="225" s="1"/>
  <c r="S41" i="242"/>
  <c r="T41" i="242"/>
  <c r="G58" i="227" s="1"/>
  <c r="P42" i="242"/>
  <c r="L43" i="242"/>
  <c r="C41" i="242"/>
  <c r="D43" i="242"/>
  <c r="E46" i="242"/>
  <c r="G57" i="229" l="1"/>
  <c r="S42" i="242"/>
  <c r="T42" i="242"/>
  <c r="G59" i="227" s="1"/>
  <c r="U42" i="242"/>
  <c r="G58" i="225" s="1"/>
  <c r="P43" i="242"/>
  <c r="L44" i="242"/>
  <c r="E47" i="242"/>
  <c r="C42" i="242"/>
  <c r="D44" i="242"/>
  <c r="G58" i="229" l="1"/>
  <c r="T43" i="242"/>
  <c r="G60" i="227" s="1"/>
  <c r="U43" i="242"/>
  <c r="G59" i="225" s="1"/>
  <c r="S43" i="242"/>
  <c r="P44" i="242"/>
  <c r="L45" i="242"/>
  <c r="C43" i="242"/>
  <c r="D45" i="242"/>
  <c r="E48" i="242"/>
  <c r="G59" i="229" l="1"/>
  <c r="T44" i="242"/>
  <c r="G61" i="227" s="1"/>
  <c r="U44" i="242"/>
  <c r="G60" i="225" s="1"/>
  <c r="S44" i="242"/>
  <c r="P45" i="242"/>
  <c r="L46" i="242"/>
  <c r="E49" i="242"/>
  <c r="C44" i="242"/>
  <c r="D46" i="242"/>
  <c r="G60" i="229" l="1"/>
  <c r="S45" i="242"/>
  <c r="T45" i="242"/>
  <c r="G62" i="227" s="1"/>
  <c r="U45" i="242"/>
  <c r="G61" i="225" s="1"/>
  <c r="L47" i="242"/>
  <c r="C45" i="242"/>
  <c r="D47" i="242"/>
  <c r="E50" i="242"/>
  <c r="G61" i="229" l="1"/>
  <c r="P46" i="242"/>
  <c r="L48" i="242"/>
  <c r="E51" i="242"/>
  <c r="C46" i="242"/>
  <c r="D48" i="242"/>
  <c r="P47" i="242" l="1"/>
  <c r="U46" i="242"/>
  <c r="G62" i="225" s="1"/>
  <c r="S46" i="242"/>
  <c r="T46" i="242"/>
  <c r="G63" i="227" s="1"/>
  <c r="P48" i="242"/>
  <c r="L49" i="242"/>
  <c r="C47" i="242"/>
  <c r="D49" i="242"/>
  <c r="E52" i="242"/>
  <c r="G62" i="229" l="1"/>
  <c r="T48" i="242"/>
  <c r="G65" i="227" s="1"/>
  <c r="U48" i="242"/>
  <c r="G64" i="225" s="1"/>
  <c r="S48" i="242"/>
  <c r="G64" i="229" s="1"/>
  <c r="S47" i="242"/>
  <c r="T47" i="242"/>
  <c r="G64" i="227" s="1"/>
  <c r="U47" i="242"/>
  <c r="G63" i="225" s="1"/>
  <c r="L50" i="242"/>
  <c r="C48" i="242"/>
  <c r="D50" i="242"/>
  <c r="E53" i="242"/>
  <c r="G63" i="229" l="1"/>
  <c r="P49" i="242"/>
  <c r="L51" i="242"/>
  <c r="E54" i="242"/>
  <c r="C49" i="242"/>
  <c r="D51" i="242"/>
  <c r="P50" i="242" l="1"/>
  <c r="P51" i="242" s="1"/>
  <c r="T49" i="242"/>
  <c r="G66" i="227" s="1"/>
  <c r="U49" i="242"/>
  <c r="G65" i="225" s="1"/>
  <c r="S49" i="242"/>
  <c r="L52" i="242"/>
  <c r="C50" i="242"/>
  <c r="D52" i="242"/>
  <c r="E55" i="242"/>
  <c r="G65" i="229" l="1"/>
  <c r="U51" i="242"/>
  <c r="S51" i="242"/>
  <c r="T51" i="242"/>
  <c r="S50" i="242"/>
  <c r="U50" i="242"/>
  <c r="T50" i="242"/>
  <c r="P52" i="242"/>
  <c r="L53" i="242"/>
  <c r="C51" i="242"/>
  <c r="D53" i="242"/>
  <c r="E56" i="242"/>
  <c r="S52" i="242" l="1"/>
  <c r="T52" i="242"/>
  <c r="U52" i="242"/>
  <c r="P53" i="242"/>
  <c r="L54" i="242"/>
  <c r="E57" i="242"/>
  <c r="C52" i="242"/>
  <c r="D54" i="242"/>
  <c r="S53" i="242" l="1"/>
  <c r="U53" i="242"/>
  <c r="T53" i="242"/>
  <c r="P54" i="242"/>
  <c r="L55" i="242"/>
  <c r="E58" i="242"/>
  <c r="C53" i="242"/>
  <c r="D55" i="242"/>
  <c r="T54" i="242" l="1"/>
  <c r="U54" i="242"/>
  <c r="S54" i="242"/>
  <c r="P55" i="242"/>
  <c r="L56" i="242"/>
  <c r="C54" i="242"/>
  <c r="D56" i="242"/>
  <c r="E59" i="242"/>
  <c r="S55" i="242" l="1"/>
  <c r="U55" i="242"/>
  <c r="T55" i="242"/>
  <c r="P56" i="242"/>
  <c r="L57" i="242"/>
  <c r="C55" i="242"/>
  <c r="D57" i="242"/>
  <c r="E60" i="242"/>
  <c r="U56" i="242" l="1"/>
  <c r="S56" i="242"/>
  <c r="T56" i="242"/>
  <c r="P57" i="242"/>
  <c r="L58" i="242"/>
  <c r="C56" i="242"/>
  <c r="D58" i="242"/>
  <c r="E61" i="242"/>
  <c r="S57" i="242" l="1"/>
  <c r="T57" i="242"/>
  <c r="U57" i="242"/>
  <c r="P58" i="242"/>
  <c r="L59" i="242"/>
  <c r="E62" i="242"/>
  <c r="C57" i="242"/>
  <c r="D59" i="242"/>
  <c r="T58" i="242" l="1"/>
  <c r="S58" i="242"/>
  <c r="U58" i="242"/>
  <c r="P59" i="242"/>
  <c r="L60" i="242"/>
  <c r="C58" i="242"/>
  <c r="D60" i="242"/>
  <c r="E63" i="242"/>
  <c r="T59" i="242" l="1"/>
  <c r="U59" i="242"/>
  <c r="S59" i="242"/>
  <c r="P60" i="242"/>
  <c r="L61" i="242"/>
  <c r="C59" i="242"/>
  <c r="D61" i="242"/>
  <c r="E64" i="242"/>
  <c r="S60" i="242" l="1"/>
  <c r="T60" i="242"/>
  <c r="U60" i="242"/>
  <c r="P61" i="242"/>
  <c r="L62" i="242"/>
  <c r="E65" i="242"/>
  <c r="C60" i="242"/>
  <c r="D62" i="242"/>
  <c r="U61" i="242" l="1"/>
  <c r="T61" i="242"/>
  <c r="S61" i="242"/>
  <c r="P62" i="242"/>
  <c r="L63" i="242"/>
  <c r="C61" i="242"/>
  <c r="D63" i="242"/>
  <c r="E66" i="242"/>
  <c r="S62" i="242" l="1"/>
  <c r="T62" i="242"/>
  <c r="U62" i="242"/>
  <c r="P63" i="242"/>
  <c r="L64" i="242"/>
  <c r="E67" i="242"/>
  <c r="C62" i="242"/>
  <c r="D64" i="242"/>
  <c r="S63" i="242" l="1"/>
  <c r="T63" i="242"/>
  <c r="U63" i="242"/>
  <c r="P64" i="242"/>
  <c r="L65" i="242"/>
  <c r="E68" i="242"/>
  <c r="C63" i="242"/>
  <c r="D65" i="242"/>
  <c r="T64" i="242" l="1"/>
  <c r="U64" i="242"/>
  <c r="S64" i="242"/>
  <c r="P65" i="242"/>
  <c r="L66" i="242"/>
  <c r="C64" i="242"/>
  <c r="D66" i="242"/>
  <c r="E69" i="242"/>
  <c r="S65" i="242" l="1"/>
  <c r="T65" i="242"/>
  <c r="U65" i="242"/>
  <c r="P66" i="242"/>
  <c r="L67" i="242"/>
  <c r="E70" i="242"/>
  <c r="C65" i="242"/>
  <c r="D67" i="242"/>
  <c r="U66" i="242" l="1"/>
  <c r="S66" i="242"/>
  <c r="T66" i="242"/>
  <c r="P67" i="242"/>
  <c r="L68" i="242"/>
  <c r="C66" i="242"/>
  <c r="D68" i="242"/>
  <c r="E71" i="242"/>
  <c r="S67" i="242" l="1"/>
  <c r="T67" i="242"/>
  <c r="U67" i="242"/>
  <c r="P68" i="242"/>
  <c r="L69" i="242"/>
  <c r="E72" i="242"/>
  <c r="C67" i="242"/>
  <c r="D69" i="242"/>
  <c r="T68" i="242" l="1"/>
  <c r="U68" i="242"/>
  <c r="S68" i="242"/>
  <c r="P69" i="242"/>
  <c r="L70" i="242"/>
  <c r="C68" i="242"/>
  <c r="D70" i="242"/>
  <c r="E73" i="242"/>
  <c r="T69" i="242" l="1"/>
  <c r="U69" i="242"/>
  <c r="S69" i="242"/>
  <c r="P70" i="242"/>
  <c r="L71" i="242"/>
  <c r="E74" i="242"/>
  <c r="C69" i="242"/>
  <c r="D71" i="242"/>
  <c r="S70" i="242" l="1"/>
  <c r="T70" i="242"/>
  <c r="U70" i="242"/>
  <c r="P71" i="242"/>
  <c r="L72" i="242"/>
  <c r="C70" i="242"/>
  <c r="D72" i="242"/>
  <c r="E75" i="242"/>
  <c r="U71" i="242" l="1"/>
  <c r="S71" i="242"/>
  <c r="T71" i="242"/>
  <c r="P72" i="242"/>
  <c r="L73" i="242"/>
  <c r="E76" i="242"/>
  <c r="C71" i="242"/>
  <c r="D73" i="242"/>
  <c r="S72" i="242" l="1"/>
  <c r="T72" i="242"/>
  <c r="U72" i="242"/>
  <c r="P73" i="242"/>
  <c r="L74" i="242"/>
  <c r="C72" i="242"/>
  <c r="D74" i="242"/>
  <c r="E77" i="242"/>
  <c r="S73" i="242" l="1"/>
  <c r="U73" i="242"/>
  <c r="T73" i="242"/>
  <c r="P74" i="242"/>
  <c r="L75" i="242"/>
  <c r="E78" i="242"/>
  <c r="C73" i="242"/>
  <c r="D75" i="242"/>
  <c r="T74" i="242" l="1"/>
  <c r="U74" i="242"/>
  <c r="S74" i="242"/>
  <c r="P75" i="242"/>
  <c r="L76" i="242"/>
  <c r="C74" i="242"/>
  <c r="D76" i="242"/>
  <c r="E79" i="242"/>
  <c r="S75" i="242" l="1"/>
  <c r="U75" i="242"/>
  <c r="T75" i="242"/>
  <c r="P76" i="242"/>
  <c r="L77" i="242"/>
  <c r="E80" i="242"/>
  <c r="C75" i="242"/>
  <c r="D77" i="242"/>
  <c r="U76" i="242" l="1"/>
  <c r="T76" i="242"/>
  <c r="S76" i="242"/>
  <c r="P77" i="242"/>
  <c r="L78" i="242"/>
  <c r="C76" i="242"/>
  <c r="D78" i="242"/>
  <c r="E81" i="242"/>
  <c r="S77" i="242" l="1"/>
  <c r="T77" i="242"/>
  <c r="U77" i="242"/>
  <c r="P78" i="242"/>
  <c r="L79" i="242"/>
  <c r="E82" i="242"/>
  <c r="C77" i="242"/>
  <c r="D79" i="242"/>
  <c r="S78" i="242" l="1"/>
  <c r="T78" i="242"/>
  <c r="U78" i="242"/>
  <c r="P79" i="242"/>
  <c r="L80" i="242"/>
  <c r="C78" i="242"/>
  <c r="D80" i="242"/>
  <c r="E83" i="242"/>
  <c r="T79" i="242" l="1"/>
  <c r="U79" i="242"/>
  <c r="S79" i="242"/>
  <c r="P80" i="242"/>
  <c r="L81" i="242"/>
  <c r="E84" i="242"/>
  <c r="C79" i="242"/>
  <c r="D81" i="242"/>
  <c r="S80" i="242" l="1"/>
  <c r="T80" i="242"/>
  <c r="U80" i="242"/>
  <c r="P81" i="242"/>
  <c r="L82" i="242"/>
  <c r="C80" i="242"/>
  <c r="D82" i="242"/>
  <c r="E85" i="242"/>
  <c r="U81" i="242" l="1"/>
  <c r="S81" i="242"/>
  <c r="T81" i="242"/>
  <c r="P82" i="242"/>
  <c r="L83" i="242"/>
  <c r="E86" i="242"/>
  <c r="C81" i="242"/>
  <c r="D83" i="242"/>
  <c r="S82" i="242" l="1"/>
  <c r="T82" i="242"/>
  <c r="U82" i="242"/>
  <c r="P83" i="242"/>
  <c r="L84" i="242"/>
  <c r="C82" i="242"/>
  <c r="D84" i="242"/>
  <c r="E87" i="242"/>
  <c r="T83" i="242" l="1"/>
  <c r="S83" i="242"/>
  <c r="U83" i="242"/>
  <c r="P84" i="242"/>
  <c r="L85" i="242"/>
  <c r="C83" i="242"/>
  <c r="D85" i="242"/>
  <c r="E88" i="242"/>
  <c r="T84" i="242" l="1"/>
  <c r="U84" i="242"/>
  <c r="S84" i="242"/>
  <c r="P85" i="242"/>
  <c r="L86" i="242"/>
  <c r="E89" i="242"/>
  <c r="C84" i="242"/>
  <c r="D86" i="242"/>
  <c r="S85" i="242" l="1"/>
  <c r="U85" i="242"/>
  <c r="T85" i="242"/>
  <c r="P86" i="242"/>
  <c r="L87" i="242"/>
  <c r="C85" i="242"/>
  <c r="D87" i="242"/>
  <c r="E90" i="242"/>
  <c r="U86" i="242" l="1"/>
  <c r="S86" i="242"/>
  <c r="T86" i="242"/>
  <c r="P87" i="242"/>
  <c r="L88" i="242"/>
  <c r="E91" i="242"/>
  <c r="C86" i="242"/>
  <c r="D88" i="242"/>
  <c r="S87" i="242" l="1"/>
  <c r="T87" i="242"/>
  <c r="U87" i="242"/>
  <c r="P88" i="242"/>
  <c r="L89" i="242"/>
  <c r="C87" i="242"/>
  <c r="D89" i="242"/>
  <c r="E92" i="242"/>
  <c r="U88" i="242" l="1"/>
  <c r="S88" i="242"/>
  <c r="T88" i="242"/>
  <c r="P89" i="242"/>
  <c r="L90" i="242"/>
  <c r="E93" i="242"/>
  <c r="C88" i="242"/>
  <c r="D90" i="242"/>
  <c r="T89" i="242" l="1"/>
  <c r="U89" i="242"/>
  <c r="S89" i="242"/>
  <c r="P90" i="242"/>
  <c r="L91" i="242"/>
  <c r="C89" i="242"/>
  <c r="D91" i="242"/>
  <c r="E94" i="242"/>
  <c r="S90" i="242" l="1"/>
  <c r="T90" i="242"/>
  <c r="U90" i="242"/>
  <c r="P91" i="242"/>
  <c r="L92" i="242"/>
  <c r="E95" i="242"/>
  <c r="C90" i="242"/>
  <c r="D92" i="242"/>
  <c r="U91" i="242" l="1"/>
  <c r="T91" i="242"/>
  <c r="S91" i="242"/>
  <c r="P92" i="242"/>
  <c r="L93" i="242"/>
  <c r="C91" i="242"/>
  <c r="D93" i="242"/>
  <c r="E96" i="242"/>
  <c r="S92" i="242" l="1"/>
  <c r="T92" i="242"/>
  <c r="U92" i="242"/>
  <c r="P93" i="242"/>
  <c r="L94" i="242"/>
  <c r="E97" i="242"/>
  <c r="C92" i="242"/>
  <c r="D94" i="242"/>
  <c r="U93" i="242" l="1"/>
  <c r="T93" i="242"/>
  <c r="S93" i="242"/>
  <c r="P94" i="242"/>
  <c r="L95" i="242"/>
  <c r="C93" i="242"/>
  <c r="D95" i="242"/>
  <c r="E98" i="242"/>
  <c r="T94" i="242" l="1"/>
  <c r="U94" i="242"/>
  <c r="S94" i="242"/>
  <c r="P95" i="242"/>
  <c r="L96" i="242"/>
  <c r="E99" i="242"/>
  <c r="C94" i="242"/>
  <c r="D96" i="242"/>
  <c r="S95" i="242" l="1"/>
  <c r="U95" i="242"/>
  <c r="T95" i="242"/>
  <c r="P96" i="242"/>
  <c r="L97" i="242"/>
  <c r="C95" i="242"/>
  <c r="D97" i="242"/>
  <c r="E100" i="242"/>
  <c r="U96" i="242" l="1"/>
  <c r="S96" i="242"/>
  <c r="T96" i="242"/>
  <c r="P97" i="242"/>
  <c r="L98" i="242"/>
  <c r="C96" i="242"/>
  <c r="D98" i="242"/>
  <c r="E101" i="242"/>
  <c r="S97" i="242" l="1"/>
  <c r="T97" i="242"/>
  <c r="U97" i="242"/>
  <c r="P98" i="242"/>
  <c r="L99" i="242"/>
  <c r="E102" i="242"/>
  <c r="C97" i="242"/>
  <c r="D99" i="242"/>
  <c r="T98" i="242" l="1"/>
  <c r="S98" i="242"/>
  <c r="U98" i="242"/>
  <c r="P99" i="242"/>
  <c r="L100" i="242"/>
  <c r="C98" i="242"/>
  <c r="D100" i="242"/>
  <c r="E103" i="242"/>
  <c r="T99" i="242" l="1"/>
  <c r="U99" i="242"/>
  <c r="S99" i="242"/>
  <c r="P100" i="242"/>
  <c r="L101" i="242"/>
  <c r="E104" i="242"/>
  <c r="C99" i="242"/>
  <c r="D101" i="242"/>
  <c r="S100" i="242" l="1"/>
  <c r="T100" i="242"/>
  <c r="U100" i="242"/>
  <c r="P101" i="242"/>
  <c r="L102" i="242"/>
  <c r="C100" i="242"/>
  <c r="D102" i="242"/>
  <c r="E105" i="242"/>
  <c r="U101" i="242" l="1"/>
  <c r="T101" i="242"/>
  <c r="S101" i="242"/>
  <c r="P102" i="242"/>
  <c r="L103" i="242"/>
  <c r="E106" i="242"/>
  <c r="C101" i="242"/>
  <c r="D103" i="242"/>
  <c r="S102" i="242" l="1"/>
  <c r="T102" i="242"/>
  <c r="U102" i="242"/>
  <c r="P103" i="242"/>
  <c r="L104" i="242"/>
  <c r="C102" i="242"/>
  <c r="D104" i="242"/>
  <c r="E107" i="242"/>
  <c r="U103" i="242" l="1"/>
  <c r="S103" i="242"/>
  <c r="T103" i="242"/>
  <c r="P104" i="242"/>
  <c r="L105" i="242"/>
  <c r="E108" i="242"/>
  <c r="C103" i="242"/>
  <c r="D105" i="242"/>
  <c r="T104" i="242" l="1"/>
  <c r="U104" i="242"/>
  <c r="S104" i="242"/>
  <c r="P105" i="242"/>
  <c r="L106" i="242"/>
  <c r="C104" i="242"/>
  <c r="D106" i="242"/>
  <c r="E109" i="242"/>
  <c r="S105" i="242" l="1"/>
  <c r="T105" i="242"/>
  <c r="U105" i="242"/>
  <c r="P106" i="242"/>
  <c r="L107" i="242"/>
  <c r="E110" i="242"/>
  <c r="C105" i="242"/>
  <c r="D107" i="242"/>
  <c r="U106" i="242" l="1"/>
  <c r="T106" i="242"/>
  <c r="S106" i="242"/>
  <c r="P107" i="242"/>
  <c r="L108" i="242"/>
  <c r="C106" i="242"/>
  <c r="D108" i="242"/>
  <c r="E111" i="242"/>
  <c r="S107" i="242" l="1"/>
  <c r="T107" i="242"/>
  <c r="U107" i="242"/>
  <c r="P108" i="242"/>
  <c r="L109" i="242"/>
  <c r="E112" i="242"/>
  <c r="C107" i="242"/>
  <c r="D109" i="242"/>
  <c r="U108" i="242" l="1"/>
  <c r="T108" i="242"/>
  <c r="S108" i="242"/>
  <c r="P109" i="242"/>
  <c r="L110" i="242"/>
  <c r="C108" i="242"/>
  <c r="D110" i="242"/>
  <c r="E113" i="242"/>
  <c r="T109" i="242" l="1"/>
  <c r="U109" i="242"/>
  <c r="S109" i="242"/>
  <c r="P110" i="242"/>
  <c r="L111" i="242"/>
  <c r="C109" i="242"/>
  <c r="D111" i="242"/>
  <c r="E114" i="242"/>
  <c r="S110" i="242" l="1"/>
  <c r="T110" i="242"/>
  <c r="U110" i="242"/>
  <c r="P111" i="242"/>
  <c r="L112" i="242"/>
  <c r="E115" i="242"/>
  <c r="C110" i="242"/>
  <c r="D112" i="242"/>
  <c r="U111" i="242" l="1"/>
  <c r="S111" i="242"/>
  <c r="T111" i="242"/>
  <c r="P112" i="242"/>
  <c r="L113" i="242"/>
  <c r="E116" i="242"/>
  <c r="C111" i="242"/>
  <c r="D113" i="242"/>
  <c r="S112" i="242" l="1"/>
  <c r="T112" i="242"/>
  <c r="U112" i="242"/>
  <c r="P113" i="242"/>
  <c r="L114" i="242"/>
  <c r="C112" i="242"/>
  <c r="D114" i="242"/>
  <c r="E117" i="242"/>
  <c r="T113" i="242" l="1"/>
  <c r="U113" i="242"/>
  <c r="S113" i="242"/>
  <c r="P114" i="242"/>
  <c r="L115" i="242"/>
  <c r="E118" i="242"/>
  <c r="C113" i="242"/>
  <c r="D115" i="242"/>
  <c r="T114" i="242" l="1"/>
  <c r="U114" i="242"/>
  <c r="S114" i="242"/>
  <c r="P115" i="242"/>
  <c r="L116" i="242"/>
  <c r="E119" i="242"/>
  <c r="C114" i="242"/>
  <c r="D116" i="242"/>
  <c r="S115" i="242" l="1"/>
  <c r="U115" i="242"/>
  <c r="T115" i="242"/>
  <c r="P116" i="242"/>
  <c r="L117" i="242"/>
  <c r="C115" i="242"/>
  <c r="D117" i="242"/>
  <c r="E120" i="242"/>
  <c r="U116" i="242" l="1"/>
  <c r="S116" i="242"/>
  <c r="T116" i="242"/>
  <c r="P117" i="242"/>
  <c r="L118" i="242"/>
  <c r="E121" i="242"/>
  <c r="C116" i="242"/>
  <c r="D118" i="242"/>
  <c r="S117" i="242" l="1"/>
  <c r="T117" i="242"/>
  <c r="U117" i="242"/>
  <c r="P118" i="242"/>
  <c r="L119" i="242"/>
  <c r="E122" i="242"/>
  <c r="C117" i="242"/>
  <c r="D119" i="242"/>
  <c r="U118" i="242" l="1"/>
  <c r="S118" i="242"/>
  <c r="T118" i="242"/>
  <c r="P119" i="242"/>
  <c r="L120" i="242"/>
  <c r="C118" i="242"/>
  <c r="D120" i="242"/>
  <c r="E123" i="242"/>
  <c r="T119" i="242" l="1"/>
  <c r="U119" i="242"/>
  <c r="S119" i="242"/>
  <c r="P120" i="242"/>
  <c r="L121" i="242"/>
  <c r="E124" i="242"/>
  <c r="C119" i="242"/>
  <c r="D121" i="242"/>
  <c r="U120" i="242" l="1"/>
  <c r="S120" i="242"/>
  <c r="T120" i="242"/>
  <c r="P121" i="242"/>
  <c r="L122" i="242"/>
  <c r="C120" i="242"/>
  <c r="D122" i="242"/>
  <c r="U121" i="242" l="1"/>
  <c r="T121" i="242"/>
  <c r="S121" i="242"/>
  <c r="P122" i="242"/>
  <c r="L123" i="242"/>
  <c r="C121" i="242"/>
  <c r="D123" i="242"/>
  <c r="S122" i="242" l="1"/>
  <c r="T122" i="242"/>
  <c r="U122" i="242"/>
  <c r="P123" i="242"/>
  <c r="L124" i="242"/>
  <c r="C122" i="242"/>
  <c r="D124" i="242"/>
  <c r="S123" i="242" l="1"/>
  <c r="T123" i="242"/>
  <c r="U123" i="242"/>
  <c r="P124" i="242"/>
  <c r="C123" i="242"/>
  <c r="C124" i="242"/>
  <c r="T124" i="242" l="1"/>
  <c r="T7" i="242" s="1"/>
  <c r="U124" i="242"/>
  <c r="U7" i="242" s="1"/>
  <c r="S124" i="242"/>
  <c r="S7" i="242" s="1"/>
  <c r="J7" i="210"/>
  <c r="K6" i="210" l="1"/>
  <c r="K7" i="210"/>
  <c r="J6" i="210" l="1"/>
  <c r="N7" i="210"/>
  <c r="J8" i="211"/>
  <c r="C6" i="210"/>
  <c r="B12" i="229" s="1"/>
  <c r="P7" i="210" l="1"/>
  <c r="O7" i="210"/>
  <c r="F13" i="229" s="1"/>
  <c r="H13" i="229" s="1"/>
  <c r="K13" i="229" s="1"/>
  <c r="B4" i="229"/>
  <c r="O6" i="210" l="1"/>
  <c r="N6" i="210"/>
  <c r="F12" i="229" l="1"/>
  <c r="O8" i="210"/>
  <c r="B5" i="225"/>
  <c r="C7" i="209"/>
  <c r="B13" i="225" s="1"/>
  <c r="C8" i="209"/>
  <c r="B14" i="225" s="1"/>
  <c r="C6" i="209"/>
  <c r="B12" i="225" s="1"/>
  <c r="K8" i="211" l="1"/>
  <c r="F14" i="227" s="1"/>
  <c r="L8" i="211" l="1"/>
  <c r="M8" i="211"/>
  <c r="I6" i="209" l="1"/>
  <c r="I7" i="209"/>
  <c r="I8" i="209"/>
  <c r="I6" i="211"/>
  <c r="I7" i="211"/>
  <c r="I6" i="210"/>
  <c r="J8" i="209" l="1"/>
  <c r="F12" i="225"/>
  <c r="M6" i="209"/>
  <c r="L6" i="209"/>
  <c r="K7" i="211" l="1"/>
  <c r="F13" i="227" s="1"/>
  <c r="J7" i="211"/>
  <c r="K6" i="211"/>
  <c r="F12" i="227" s="1"/>
  <c r="H12" i="227" s="1"/>
  <c r="K12" i="227" s="1"/>
  <c r="J6" i="211"/>
  <c r="J11" i="211" s="1"/>
  <c r="K8" i="209" l="1"/>
  <c r="F14" i="225" s="1"/>
  <c r="J7" i="209"/>
  <c r="M7" i="211"/>
  <c r="L7" i="211"/>
  <c r="L6" i="211"/>
  <c r="L11" i="211" s="1"/>
  <c r="M6" i="211"/>
  <c r="M11" i="211" s="1"/>
  <c r="K7" i="209"/>
  <c r="L8" i="209"/>
  <c r="M8" i="209"/>
  <c r="K9" i="209" l="1"/>
  <c r="F13" i="225"/>
  <c r="M7" i="209"/>
  <c r="M9" i="209" s="1"/>
  <c r="L7" i="209" l="1"/>
  <c r="L9" i="209" s="1"/>
  <c r="I12" i="229" l="1"/>
  <c r="J12" i="229" s="1"/>
  <c r="F14" i="229"/>
  <c r="D12" i="229"/>
  <c r="B29" i="229"/>
  <c r="M25" i="229"/>
  <c r="L25" i="229"/>
  <c r="I31" i="229"/>
  <c r="I32" i="229" s="1"/>
  <c r="I33" i="229" s="1"/>
  <c r="I34" i="229" s="1"/>
  <c r="I35" i="229" s="1"/>
  <c r="I36" i="229" s="1"/>
  <c r="I37" i="229" s="1"/>
  <c r="I38" i="229" s="1"/>
  <c r="I39" i="229" s="1"/>
  <c r="I40" i="229" s="1"/>
  <c r="I41" i="229" s="1"/>
  <c r="I42" i="229" s="1"/>
  <c r="I43" i="229" s="1"/>
  <c r="I44" i="229" s="1"/>
  <c r="I45" i="229" s="1"/>
  <c r="I46" i="229" s="1"/>
  <c r="I47" i="229" s="1"/>
  <c r="I48" i="229" s="1"/>
  <c r="I49" i="229" s="1"/>
  <c r="I50" i="229" s="1"/>
  <c r="I51" i="229" s="1"/>
  <c r="I52" i="229" s="1"/>
  <c r="I53" i="229" s="1"/>
  <c r="I54" i="229" s="1"/>
  <c r="L10" i="229"/>
  <c r="N9" i="229"/>
  <c r="O9" i="229" s="1"/>
  <c r="P9" i="229" s="1"/>
  <c r="Q9" i="229" s="1"/>
  <c r="R9" i="229" s="1"/>
  <c r="S9" i="229" s="1"/>
  <c r="T9" i="229" s="1"/>
  <c r="U9" i="229" s="1"/>
  <c r="V9" i="229" s="1"/>
  <c r="W9" i="229" s="1"/>
  <c r="X9" i="229" s="1"/>
  <c r="Y9" i="229" s="1"/>
  <c r="Z9" i="229" s="1"/>
  <c r="AA9" i="229" s="1"/>
  <c r="AB9" i="229" s="1"/>
  <c r="AC9" i="229" s="1"/>
  <c r="AD9" i="229" s="1"/>
  <c r="AE9" i="229" s="1"/>
  <c r="AF9" i="229" s="1"/>
  <c r="AG9" i="229" s="1"/>
  <c r="AH9" i="229" s="1"/>
  <c r="AI9" i="229" s="1"/>
  <c r="AJ9" i="229" s="1"/>
  <c r="AK9" i="229" s="1"/>
  <c r="AL9" i="229" s="1"/>
  <c r="AM9" i="229" s="1"/>
  <c r="AN9" i="229" s="1"/>
  <c r="AO9" i="229" s="1"/>
  <c r="AP9" i="229" s="1"/>
  <c r="AQ9" i="229" s="1"/>
  <c r="AR9" i="229" s="1"/>
  <c r="AS9" i="229" s="1"/>
  <c r="AT9" i="229" s="1"/>
  <c r="AU9" i="229" s="1"/>
  <c r="AV9" i="229" s="1"/>
  <c r="AW9" i="229" s="1"/>
  <c r="AX9" i="229" s="1"/>
  <c r="AY9" i="229" s="1"/>
  <c r="AZ9" i="229" s="1"/>
  <c r="BA9" i="229" s="1"/>
  <c r="BB9" i="229" s="1"/>
  <c r="BC9" i="229" s="1"/>
  <c r="BD9" i="229" s="1"/>
  <c r="BE9" i="229" s="1"/>
  <c r="BF9" i="229" s="1"/>
  <c r="BG9" i="229" s="1"/>
  <c r="BH9" i="229" s="1"/>
  <c r="BI9" i="229" s="1"/>
  <c r="BJ9" i="229" s="1"/>
  <c r="BK9" i="229" s="1"/>
  <c r="BL9" i="229" s="1"/>
  <c r="BM9" i="229" s="1"/>
  <c r="BN9" i="229" s="1"/>
  <c r="BO9" i="229" s="1"/>
  <c r="BP9" i="229" s="1"/>
  <c r="BQ9" i="229" s="1"/>
  <c r="BR9" i="229" s="1"/>
  <c r="BS9" i="229" s="1"/>
  <c r="K10" i="229"/>
  <c r="I32" i="227"/>
  <c r="J13" i="227"/>
  <c r="J14" i="227"/>
  <c r="B30" i="227"/>
  <c r="L26" i="227"/>
  <c r="L10" i="227"/>
  <c r="N9" i="227"/>
  <c r="O9" i="227" s="1"/>
  <c r="P9" i="227" s="1"/>
  <c r="Q9" i="227" s="1"/>
  <c r="R9" i="227" s="1"/>
  <c r="S9" i="227" s="1"/>
  <c r="T9" i="227" s="1"/>
  <c r="U9" i="227" s="1"/>
  <c r="V9" i="227" s="1"/>
  <c r="W9" i="227" s="1"/>
  <c r="X9" i="227" s="1"/>
  <c r="Y9" i="227" s="1"/>
  <c r="Z9" i="227" s="1"/>
  <c r="AA9" i="227" s="1"/>
  <c r="AB9" i="227" s="1"/>
  <c r="AC9" i="227" s="1"/>
  <c r="AD9" i="227" s="1"/>
  <c r="AE9" i="227" s="1"/>
  <c r="AF9" i="227" s="1"/>
  <c r="AG9" i="227" s="1"/>
  <c r="AH9" i="227" s="1"/>
  <c r="AI9" i="227" s="1"/>
  <c r="AJ9" i="227" s="1"/>
  <c r="AK9" i="227" s="1"/>
  <c r="AL9" i="227" s="1"/>
  <c r="AM9" i="227" s="1"/>
  <c r="AN9" i="227" s="1"/>
  <c r="AO9" i="227" s="1"/>
  <c r="AP9" i="227" s="1"/>
  <c r="AQ9" i="227" s="1"/>
  <c r="AR9" i="227" s="1"/>
  <c r="AS9" i="227" s="1"/>
  <c r="AT9" i="227" s="1"/>
  <c r="AU9" i="227" s="1"/>
  <c r="AV9" i="227" s="1"/>
  <c r="AW9" i="227" s="1"/>
  <c r="AX9" i="227" s="1"/>
  <c r="AY9" i="227" s="1"/>
  <c r="AZ9" i="227" s="1"/>
  <c r="BA9" i="227" s="1"/>
  <c r="BB9" i="227" s="1"/>
  <c r="BC9" i="227" s="1"/>
  <c r="BD9" i="227" s="1"/>
  <c r="BE9" i="227" s="1"/>
  <c r="BF9" i="227" s="1"/>
  <c r="BG9" i="227" s="1"/>
  <c r="BH9" i="227" s="1"/>
  <c r="BI9" i="227" s="1"/>
  <c r="BJ9" i="227" s="1"/>
  <c r="BK9" i="227" s="1"/>
  <c r="BL9" i="227" s="1"/>
  <c r="BM9" i="227" s="1"/>
  <c r="BN9" i="227" s="1"/>
  <c r="BO9" i="227" s="1"/>
  <c r="BP9" i="227" s="1"/>
  <c r="BQ9" i="227" s="1"/>
  <c r="BR9" i="227" s="1"/>
  <c r="BS9" i="227" s="1"/>
  <c r="G10" i="227"/>
  <c r="H12" i="225"/>
  <c r="C14" i="225"/>
  <c r="E14" i="225" s="1"/>
  <c r="I14" i="225"/>
  <c r="J14" i="225" s="1"/>
  <c r="B29" i="225"/>
  <c r="B30" i="225" s="1"/>
  <c r="M25" i="225"/>
  <c r="L25" i="225"/>
  <c r="I31" i="225"/>
  <c r="I13" i="225"/>
  <c r="J13" i="225" s="1"/>
  <c r="D13" i="225"/>
  <c r="C13" i="225"/>
  <c r="I12" i="225"/>
  <c r="J12" i="225" s="1"/>
  <c r="C12" i="225"/>
  <c r="I26" i="225"/>
  <c r="N9" i="225"/>
  <c r="O9" i="225" s="1"/>
  <c r="P9" i="225" s="1"/>
  <c r="Q9" i="225" s="1"/>
  <c r="R9" i="225" s="1"/>
  <c r="S9" i="225" s="1"/>
  <c r="T9" i="225" s="1"/>
  <c r="U9" i="225" s="1"/>
  <c r="V9" i="225" s="1"/>
  <c r="W9" i="225" s="1"/>
  <c r="X9" i="225" s="1"/>
  <c r="Y9" i="225" s="1"/>
  <c r="Z9" i="225" s="1"/>
  <c r="AA9" i="225" s="1"/>
  <c r="AB9" i="225" s="1"/>
  <c r="AC9" i="225" s="1"/>
  <c r="AD9" i="225" s="1"/>
  <c r="AE9" i="225" s="1"/>
  <c r="AF9" i="225" s="1"/>
  <c r="AG9" i="225" s="1"/>
  <c r="AH9" i="225" s="1"/>
  <c r="AI9" i="225" s="1"/>
  <c r="AJ9" i="225" s="1"/>
  <c r="AK9" i="225" s="1"/>
  <c r="AL9" i="225" s="1"/>
  <c r="AM9" i="225" s="1"/>
  <c r="AN9" i="225" s="1"/>
  <c r="AO9" i="225" s="1"/>
  <c r="AP9" i="225" s="1"/>
  <c r="AQ9" i="225" s="1"/>
  <c r="AR9" i="225" s="1"/>
  <c r="AS9" i="225" s="1"/>
  <c r="AT9" i="225" s="1"/>
  <c r="AU9" i="225" s="1"/>
  <c r="AV9" i="225" s="1"/>
  <c r="AW9" i="225" s="1"/>
  <c r="AX9" i="225" s="1"/>
  <c r="AY9" i="225" s="1"/>
  <c r="AZ9" i="225" s="1"/>
  <c r="BA9" i="225" s="1"/>
  <c r="BB9" i="225" s="1"/>
  <c r="BC9" i="225" s="1"/>
  <c r="BD9" i="225" s="1"/>
  <c r="BE9" i="225" s="1"/>
  <c r="BF9" i="225" s="1"/>
  <c r="BG9" i="225" s="1"/>
  <c r="BH9" i="225" s="1"/>
  <c r="BI9" i="225" s="1"/>
  <c r="BJ9" i="225" s="1"/>
  <c r="BK9" i="225" s="1"/>
  <c r="BL9" i="225" s="1"/>
  <c r="BM9" i="225" s="1"/>
  <c r="BN9" i="225" s="1"/>
  <c r="BO9" i="225" s="1"/>
  <c r="BP9" i="225" s="1"/>
  <c r="BQ9" i="225" s="1"/>
  <c r="BR9" i="225" s="1"/>
  <c r="BS9" i="225" s="1"/>
  <c r="K10" i="225"/>
  <c r="H13" i="227"/>
  <c r="H14" i="227"/>
  <c r="L15" i="227" l="1"/>
  <c r="L16" i="227"/>
  <c r="J31" i="225"/>
  <c r="I32" i="225"/>
  <c r="I33" i="225" s="1"/>
  <c r="I34" i="225" s="1"/>
  <c r="I35" i="225" s="1"/>
  <c r="I36" i="225" s="1"/>
  <c r="I37" i="225" s="1"/>
  <c r="I38" i="225" s="1"/>
  <c r="I39" i="225" s="1"/>
  <c r="I40" i="225" s="1"/>
  <c r="I41" i="225" s="1"/>
  <c r="I42" i="225" s="1"/>
  <c r="I43" i="225" s="1"/>
  <c r="I44" i="225" s="1"/>
  <c r="I45" i="225" s="1"/>
  <c r="I46" i="225" s="1"/>
  <c r="I47" i="225" s="1"/>
  <c r="I48" i="225" s="1"/>
  <c r="I49" i="225" s="1"/>
  <c r="I50" i="225" s="1"/>
  <c r="I51" i="225" s="1"/>
  <c r="I52" i="225" s="1"/>
  <c r="I53" i="225" s="1"/>
  <c r="I54" i="225" s="1"/>
  <c r="I55" i="225" s="1"/>
  <c r="I56" i="225" s="1"/>
  <c r="J31" i="229"/>
  <c r="L13" i="229"/>
  <c r="I26" i="229"/>
  <c r="I27" i="227"/>
  <c r="B30" i="229"/>
  <c r="K12" i="225"/>
  <c r="F10" i="229"/>
  <c r="G10" i="229"/>
  <c r="H10" i="225"/>
  <c r="F10" i="225"/>
  <c r="G10" i="225"/>
  <c r="K13" i="227"/>
  <c r="L13" i="225"/>
  <c r="L14" i="225"/>
  <c r="M10" i="227"/>
  <c r="E12" i="229"/>
  <c r="H10" i="229"/>
  <c r="M10" i="229"/>
  <c r="M13" i="229" s="1"/>
  <c r="H12" i="229"/>
  <c r="K12" i="229" s="1"/>
  <c r="K14" i="227"/>
  <c r="L14" i="227" s="1"/>
  <c r="E13" i="227"/>
  <c r="E14" i="227"/>
  <c r="F17" i="227"/>
  <c r="K10" i="227"/>
  <c r="F10" i="227"/>
  <c r="B31" i="227"/>
  <c r="L12" i="227"/>
  <c r="H10" i="227"/>
  <c r="B31" i="225"/>
  <c r="E12" i="225"/>
  <c r="E13" i="225"/>
  <c r="M10" i="225"/>
  <c r="M15" i="227" l="1"/>
  <c r="M16" i="227"/>
  <c r="K17" i="227"/>
  <c r="B31" i="229"/>
  <c r="D31" i="229"/>
  <c r="K14" i="229"/>
  <c r="L12" i="229"/>
  <c r="L14" i="229" s="1"/>
  <c r="L13" i="227"/>
  <c r="L17" i="227" s="1"/>
  <c r="N10" i="227"/>
  <c r="N16" i="227" s="1"/>
  <c r="L12" i="225"/>
  <c r="L15" i="225" s="1"/>
  <c r="F31" i="225" s="1"/>
  <c r="M14" i="225"/>
  <c r="M13" i="225"/>
  <c r="M14" i="227"/>
  <c r="B32" i="229"/>
  <c r="N10" i="229"/>
  <c r="N13" i="229" s="1"/>
  <c r="B32" i="227"/>
  <c r="B32" i="225"/>
  <c r="N10" i="225"/>
  <c r="N11" i="227" l="1"/>
  <c r="N15" i="227"/>
  <c r="O10" i="227"/>
  <c r="O16" i="227" s="1"/>
  <c r="E32" i="229"/>
  <c r="F31" i="229"/>
  <c r="E31" i="229"/>
  <c r="F32" i="227"/>
  <c r="D5" i="217"/>
  <c r="J32" i="227"/>
  <c r="J32" i="229"/>
  <c r="N14" i="227"/>
  <c r="O14" i="227"/>
  <c r="B33" i="229"/>
  <c r="N11" i="229"/>
  <c r="O10" i="229"/>
  <c r="O13" i="229" s="1"/>
  <c r="B33" i="227"/>
  <c r="B33" i="225"/>
  <c r="N11" i="225"/>
  <c r="O10" i="225"/>
  <c r="O13" i="225" s="1"/>
  <c r="P10" i="227" l="1"/>
  <c r="P16" i="227" s="1"/>
  <c r="P15" i="227"/>
  <c r="O15" i="227"/>
  <c r="K31" i="229"/>
  <c r="E33" i="229"/>
  <c r="J33" i="229"/>
  <c r="P14" i="227"/>
  <c r="P10" i="229"/>
  <c r="P13" i="229" s="1"/>
  <c r="O12" i="229"/>
  <c r="O14" i="229" s="1"/>
  <c r="B34" i="229"/>
  <c r="Q10" i="227"/>
  <c r="Q16" i="227" s="1"/>
  <c r="B34" i="227"/>
  <c r="B34" i="225"/>
  <c r="O12" i="225"/>
  <c r="P10" i="225"/>
  <c r="M31" i="229" l="1"/>
  <c r="L31" i="229"/>
  <c r="Q15" i="227"/>
  <c r="J32" i="225"/>
  <c r="F34" i="229"/>
  <c r="E34" i="229"/>
  <c r="J34" i="229"/>
  <c r="Q13" i="227"/>
  <c r="Q14" i="227"/>
  <c r="Q10" i="229"/>
  <c r="Q13" i="229" s="1"/>
  <c r="P12" i="229"/>
  <c r="P14" i="229" s="1"/>
  <c r="B35" i="229"/>
  <c r="Q12" i="227"/>
  <c r="Q17" i="227" s="1"/>
  <c r="R10" i="227"/>
  <c r="R16" i="227" s="1"/>
  <c r="B35" i="227"/>
  <c r="B35" i="225"/>
  <c r="P12" i="225"/>
  <c r="Q10" i="225"/>
  <c r="J9" i="209"/>
  <c r="R15" i="227" l="1"/>
  <c r="J33" i="225"/>
  <c r="F35" i="229"/>
  <c r="E35" i="229"/>
  <c r="J35" i="229"/>
  <c r="Q14" i="225"/>
  <c r="Q13" i="225"/>
  <c r="H14" i="225"/>
  <c r="K14" i="225" s="1"/>
  <c r="R13" i="227"/>
  <c r="R14" i="227"/>
  <c r="Q12" i="229"/>
  <c r="Q14" i="229" s="1"/>
  <c r="R10" i="229"/>
  <c r="R13" i="229" s="1"/>
  <c r="B36" i="229"/>
  <c r="R12" i="227"/>
  <c r="R17" i="227" s="1"/>
  <c r="S10" i="227"/>
  <c r="S16" i="227" s="1"/>
  <c r="B36" i="227"/>
  <c r="B36" i="225"/>
  <c r="Q12" i="225"/>
  <c r="R10" i="225"/>
  <c r="S15" i="227" l="1"/>
  <c r="J34" i="225"/>
  <c r="E36" i="229"/>
  <c r="F36" i="229"/>
  <c r="J36" i="229"/>
  <c r="R13" i="225"/>
  <c r="R14" i="225"/>
  <c r="S13" i="227"/>
  <c r="S14" i="227"/>
  <c r="H13" i="225"/>
  <c r="K13" i="225" s="1"/>
  <c r="F15" i="225"/>
  <c r="R12" i="229"/>
  <c r="R14" i="229" s="1"/>
  <c r="S10" i="229"/>
  <c r="B37" i="229"/>
  <c r="B37" i="227"/>
  <c r="S12" i="227"/>
  <c r="S17" i="227" s="1"/>
  <c r="T10" i="227"/>
  <c r="T16" i="227" s="1"/>
  <c r="Q15" i="225"/>
  <c r="F36" i="225" s="1"/>
  <c r="B37" i="225"/>
  <c r="S10" i="225"/>
  <c r="R12" i="225"/>
  <c r="T15" i="227" l="1"/>
  <c r="J35" i="225"/>
  <c r="E37" i="229"/>
  <c r="F37" i="229"/>
  <c r="J37" i="229"/>
  <c r="S13" i="225"/>
  <c r="S14" i="225"/>
  <c r="T13" i="227"/>
  <c r="B38" i="229"/>
  <c r="S12" i="229"/>
  <c r="T10" i="229"/>
  <c r="F37" i="227"/>
  <c r="B38" i="227"/>
  <c r="T12" i="227"/>
  <c r="U10" i="227"/>
  <c r="U16" i="227" s="1"/>
  <c r="R15" i="225"/>
  <c r="F37" i="225" s="1"/>
  <c r="B38" i="225"/>
  <c r="S12" i="225"/>
  <c r="T10" i="225"/>
  <c r="U15" i="227" l="1"/>
  <c r="J36" i="225"/>
  <c r="E38" i="229"/>
  <c r="J38" i="229"/>
  <c r="T13" i="225"/>
  <c r="T14" i="225"/>
  <c r="U13" i="227"/>
  <c r="B39" i="229"/>
  <c r="U10" i="229"/>
  <c r="U13" i="229" s="1"/>
  <c r="T12" i="229"/>
  <c r="B39" i="227"/>
  <c r="F38" i="227"/>
  <c r="V10" i="227"/>
  <c r="V16" i="227" s="1"/>
  <c r="U12" i="227"/>
  <c r="B39" i="225"/>
  <c r="T12" i="225"/>
  <c r="U10" i="225"/>
  <c r="S15" i="225"/>
  <c r="F38" i="225" s="1"/>
  <c r="V15" i="227" l="1"/>
  <c r="J37" i="225"/>
  <c r="E39" i="229"/>
  <c r="J39" i="229"/>
  <c r="U13" i="225"/>
  <c r="U14" i="225"/>
  <c r="V13" i="227"/>
  <c r="U12" i="229"/>
  <c r="U14" i="229" s="1"/>
  <c r="V10" i="229"/>
  <c r="V13" i="229" s="1"/>
  <c r="B40" i="229"/>
  <c r="W10" i="227"/>
  <c r="W16" i="227" s="1"/>
  <c r="V12" i="227"/>
  <c r="B40" i="227"/>
  <c r="T15" i="225"/>
  <c r="F39" i="225" s="1"/>
  <c r="B40" i="225"/>
  <c r="U12" i="225"/>
  <c r="V10" i="225"/>
  <c r="W15" i="227" l="1"/>
  <c r="J38" i="225"/>
  <c r="F40" i="229"/>
  <c r="E40" i="229"/>
  <c r="J40" i="229"/>
  <c r="W13" i="227"/>
  <c r="V13" i="225"/>
  <c r="V14" i="225"/>
  <c r="B41" i="229"/>
  <c r="V12" i="229"/>
  <c r="V14" i="229" s="1"/>
  <c r="W10" i="229"/>
  <c r="W13" i="229" s="1"/>
  <c r="B41" i="227"/>
  <c r="W12" i="227"/>
  <c r="X10" i="227"/>
  <c r="X16" i="227" s="1"/>
  <c r="B41" i="225"/>
  <c r="U15" i="225"/>
  <c r="F40" i="225" s="1"/>
  <c r="V12" i="225"/>
  <c r="W10" i="225"/>
  <c r="X15" i="227" l="1"/>
  <c r="J39" i="225"/>
  <c r="E41" i="229"/>
  <c r="F41" i="229"/>
  <c r="J41" i="229"/>
  <c r="W13" i="225"/>
  <c r="W14" i="225"/>
  <c r="X14" i="227"/>
  <c r="X13" i="227"/>
  <c r="W12" i="229"/>
  <c r="W14" i="229" s="1"/>
  <c r="X10" i="229"/>
  <c r="X13" i="229" s="1"/>
  <c r="B42" i="229"/>
  <c r="B42" i="227"/>
  <c r="X12" i="227"/>
  <c r="X17" i="227" s="1"/>
  <c r="Y10" i="227"/>
  <c r="Y16" i="227" s="1"/>
  <c r="B42" i="225"/>
  <c r="W12" i="225"/>
  <c r="X10" i="225"/>
  <c r="V15" i="225"/>
  <c r="F41" i="225" s="1"/>
  <c r="Y15" i="227" l="1"/>
  <c r="J40" i="225"/>
  <c r="E42" i="229"/>
  <c r="F42" i="229"/>
  <c r="J42" i="229"/>
  <c r="W15" i="225"/>
  <c r="F42" i="225" s="1"/>
  <c r="X14" i="225"/>
  <c r="X13" i="225"/>
  <c r="Y14" i="227"/>
  <c r="Y13" i="227"/>
  <c r="B43" i="229"/>
  <c r="X12" i="229"/>
  <c r="X14" i="229" s="1"/>
  <c r="Y10" i="229"/>
  <c r="Y13" i="229" s="1"/>
  <c r="Y12" i="227"/>
  <c r="Y17" i="227" s="1"/>
  <c r="Z10" i="227"/>
  <c r="Z16" i="227" s="1"/>
  <c r="B43" i="227"/>
  <c r="B43" i="225"/>
  <c r="X12" i="225"/>
  <c r="Y10" i="225"/>
  <c r="Z15" i="227" l="1"/>
  <c r="J41" i="225"/>
  <c r="F43" i="229"/>
  <c r="E43" i="229"/>
  <c r="J43" i="229"/>
  <c r="Z14" i="227"/>
  <c r="Z13" i="227"/>
  <c r="Y14" i="225"/>
  <c r="Y13" i="225"/>
  <c r="Y12" i="229"/>
  <c r="Y14" i="229" s="1"/>
  <c r="Z10" i="229"/>
  <c r="Z13" i="229" s="1"/>
  <c r="B44" i="229"/>
  <c r="B44" i="227"/>
  <c r="Z12" i="227"/>
  <c r="AA10" i="227"/>
  <c r="B44" i="225"/>
  <c r="Y12" i="225"/>
  <c r="Z10" i="225"/>
  <c r="X15" i="225"/>
  <c r="F43" i="225" s="1"/>
  <c r="AA15" i="227" l="1"/>
  <c r="AA16" i="227"/>
  <c r="Z17" i="227"/>
  <c r="J42" i="225"/>
  <c r="F44" i="229"/>
  <c r="E44" i="229"/>
  <c r="J44" i="229"/>
  <c r="Z14" i="225"/>
  <c r="Z13" i="225"/>
  <c r="AA13" i="227"/>
  <c r="AA14" i="227"/>
  <c r="B45" i="229"/>
  <c r="Z12" i="229"/>
  <c r="Z14" i="229" s="1"/>
  <c r="AA10" i="229"/>
  <c r="AA13" i="229" s="1"/>
  <c r="AA12" i="227"/>
  <c r="AA17" i="227" s="1"/>
  <c r="AB10" i="227"/>
  <c r="B45" i="227"/>
  <c r="F44" i="227"/>
  <c r="B45" i="225"/>
  <c r="Z12" i="225"/>
  <c r="AA10" i="225"/>
  <c r="Y15" i="225"/>
  <c r="F44" i="225" s="1"/>
  <c r="AB15" i="227" l="1"/>
  <c r="AB16" i="227"/>
  <c r="J43" i="225"/>
  <c r="F45" i="229"/>
  <c r="E45" i="229"/>
  <c r="J45" i="229"/>
  <c r="AB13" i="227"/>
  <c r="AB14" i="227"/>
  <c r="AA14" i="225"/>
  <c r="AA13" i="225"/>
  <c r="AB10" i="229"/>
  <c r="AB13" i="229" s="1"/>
  <c r="AA12" i="229"/>
  <c r="AA14" i="229" s="1"/>
  <c r="B46" i="229"/>
  <c r="B46" i="227"/>
  <c r="AB12" i="227"/>
  <c r="AB17" i="227" s="1"/>
  <c r="AC10" i="227"/>
  <c r="AC15" i="227" s="1"/>
  <c r="F45" i="227"/>
  <c r="B46" i="225"/>
  <c r="AB10" i="225"/>
  <c r="AA12" i="225"/>
  <c r="Z15" i="225"/>
  <c r="F45" i="225" s="1"/>
  <c r="J44" i="225" l="1"/>
  <c r="F46" i="229"/>
  <c r="E46" i="229"/>
  <c r="J46" i="229"/>
  <c r="AB14" i="225"/>
  <c r="AB13" i="225"/>
  <c r="AC13" i="227"/>
  <c r="AC14" i="227"/>
  <c r="B47" i="229"/>
  <c r="AC10" i="229"/>
  <c r="AC13" i="229" s="1"/>
  <c r="AB12" i="229"/>
  <c r="AB14" i="229" s="1"/>
  <c r="F46" i="227"/>
  <c r="AD10" i="227"/>
  <c r="AC12" i="227"/>
  <c r="B47" i="227"/>
  <c r="AA15" i="225"/>
  <c r="F46" i="225" s="1"/>
  <c r="B47" i="225"/>
  <c r="AC10" i="225"/>
  <c r="AB12" i="225"/>
  <c r="AD15" i="227" l="1"/>
  <c r="J45" i="225"/>
  <c r="F47" i="229"/>
  <c r="E47" i="229"/>
  <c r="J47" i="229"/>
  <c r="AC14" i="225"/>
  <c r="AC13" i="225"/>
  <c r="AD13" i="227"/>
  <c r="AD14" i="227"/>
  <c r="B48" i="229"/>
  <c r="AC12" i="229"/>
  <c r="AC14" i="229" s="1"/>
  <c r="AD10" i="229"/>
  <c r="AD13" i="229" s="1"/>
  <c r="B48" i="227"/>
  <c r="AE10" i="227"/>
  <c r="AD12" i="227"/>
  <c r="B48" i="225"/>
  <c r="AC12" i="225"/>
  <c r="AD10" i="225"/>
  <c r="AB15" i="225"/>
  <c r="F47" i="225" s="1"/>
  <c r="AE15" i="227" l="1"/>
  <c r="J46" i="225"/>
  <c r="E48" i="229"/>
  <c r="F48" i="229"/>
  <c r="AD17" i="227"/>
  <c r="J48" i="229"/>
  <c r="AE13" i="227"/>
  <c r="AE14" i="227"/>
  <c r="AD13" i="225"/>
  <c r="AD14" i="225"/>
  <c r="AD12" i="229"/>
  <c r="AD14" i="229" s="1"/>
  <c r="AE10" i="229"/>
  <c r="AE13" i="229" s="1"/>
  <c r="B49" i="229"/>
  <c r="B49" i="227"/>
  <c r="AE12" i="227"/>
  <c r="AF10" i="227"/>
  <c r="AC15" i="225"/>
  <c r="F48" i="225" s="1"/>
  <c r="B49" i="225"/>
  <c r="AE10" i="225"/>
  <c r="AD12" i="225"/>
  <c r="AF15" i="227" l="1"/>
  <c r="J47" i="225"/>
  <c r="E49" i="229"/>
  <c r="F49" i="229"/>
  <c r="J49" i="229"/>
  <c r="AE17" i="227"/>
  <c r="AE13" i="225"/>
  <c r="AE14" i="225"/>
  <c r="AF13" i="227"/>
  <c r="AF14" i="227"/>
  <c r="B50" i="229"/>
  <c r="AE12" i="229"/>
  <c r="AE14" i="229" s="1"/>
  <c r="AF10" i="229"/>
  <c r="AF13" i="229" s="1"/>
  <c r="AF12" i="227"/>
  <c r="AG10" i="227"/>
  <c r="B50" i="227"/>
  <c r="B50" i="225"/>
  <c r="AD15" i="225"/>
  <c r="F49" i="225" s="1"/>
  <c r="AE12" i="225"/>
  <c r="AF10" i="225"/>
  <c r="AG15" i="227" l="1"/>
  <c r="J48" i="225"/>
  <c r="F50" i="229"/>
  <c r="E50" i="229"/>
  <c r="J50" i="229"/>
  <c r="AF17" i="227"/>
  <c r="AE15" i="225"/>
  <c r="F50" i="225" s="1"/>
  <c r="AG14" i="227"/>
  <c r="AG13" i="227"/>
  <c r="AF13" i="225"/>
  <c r="AF14" i="225"/>
  <c r="AF12" i="229"/>
  <c r="AF14" i="229" s="1"/>
  <c r="AG10" i="229"/>
  <c r="AG13" i="229" s="1"/>
  <c r="B51" i="229"/>
  <c r="B51" i="227"/>
  <c r="AG12" i="227"/>
  <c r="AH10" i="227"/>
  <c r="F50" i="227"/>
  <c r="B51" i="225"/>
  <c r="AF12" i="225"/>
  <c r="AG10" i="225"/>
  <c r="AH15" i="227" l="1"/>
  <c r="J49" i="225"/>
  <c r="F51" i="229"/>
  <c r="E51" i="229"/>
  <c r="J51" i="229"/>
  <c r="AG17" i="227"/>
  <c r="AG13" i="225"/>
  <c r="AG14" i="225"/>
  <c r="AH14" i="227"/>
  <c r="AH13" i="227"/>
  <c r="B52" i="229"/>
  <c r="AH10" i="229"/>
  <c r="AH13" i="229" s="1"/>
  <c r="AG12" i="229"/>
  <c r="AG14" i="229" s="1"/>
  <c r="F51" i="227"/>
  <c r="AI10" i="227"/>
  <c r="AH12" i="227"/>
  <c r="B52" i="227"/>
  <c r="AF15" i="225"/>
  <c r="F51" i="225" s="1"/>
  <c r="B52" i="225"/>
  <c r="AH10" i="225"/>
  <c r="AG12" i="225"/>
  <c r="AI15" i="227" l="1"/>
  <c r="J50" i="225"/>
  <c r="E52" i="229"/>
  <c r="F52" i="229"/>
  <c r="J52" i="229"/>
  <c r="AH17" i="227"/>
  <c r="F52" i="227"/>
  <c r="AH14" i="225"/>
  <c r="AH13" i="225"/>
  <c r="AI14" i="227"/>
  <c r="AI13" i="227"/>
  <c r="AH12" i="229"/>
  <c r="AH14" i="229" s="1"/>
  <c r="AI10" i="229"/>
  <c r="AI13" i="229" s="1"/>
  <c r="B53" i="229"/>
  <c r="AJ10" i="227"/>
  <c r="AI12" i="227"/>
  <c r="B53" i="227"/>
  <c r="B53" i="225"/>
  <c r="AG15" i="225"/>
  <c r="F52" i="225" s="1"/>
  <c r="AI10" i="225"/>
  <c r="AH12" i="225"/>
  <c r="AJ15" i="227" l="1"/>
  <c r="J51" i="225"/>
  <c r="E53" i="229"/>
  <c r="F53" i="229"/>
  <c r="J53" i="229"/>
  <c r="AI17" i="227"/>
  <c r="AJ14" i="227"/>
  <c r="AJ13" i="227"/>
  <c r="AI14" i="225"/>
  <c r="AI13" i="225"/>
  <c r="AI12" i="229"/>
  <c r="AI14" i="229" s="1"/>
  <c r="AJ10" i="229"/>
  <c r="AJ13" i="229" s="1"/>
  <c r="B54" i="229"/>
  <c r="B54" i="227"/>
  <c r="F53" i="227"/>
  <c r="AJ12" i="227"/>
  <c r="AK10" i="227"/>
  <c r="B54" i="225"/>
  <c r="AJ10" i="225"/>
  <c r="AI12" i="225"/>
  <c r="AH15" i="225"/>
  <c r="F53" i="225" s="1"/>
  <c r="AK15" i="227" l="1"/>
  <c r="J52" i="225"/>
  <c r="E54" i="229"/>
  <c r="F54" i="229"/>
  <c r="J54" i="229"/>
  <c r="AJ17" i="227"/>
  <c r="M12" i="229"/>
  <c r="F54" i="227"/>
  <c r="AJ14" i="225"/>
  <c r="AJ13" i="225"/>
  <c r="AK14" i="227"/>
  <c r="AK13" i="227"/>
  <c r="AJ12" i="229"/>
  <c r="AJ14" i="229" s="1"/>
  <c r="AK10" i="229"/>
  <c r="AK13" i="229" s="1"/>
  <c r="B55" i="229"/>
  <c r="AK12" i="227"/>
  <c r="AL10" i="227"/>
  <c r="B55" i="227"/>
  <c r="AI15" i="225"/>
  <c r="F54" i="225" s="1"/>
  <c r="B55" i="225"/>
  <c r="AK10" i="225"/>
  <c r="AJ12" i="225"/>
  <c r="AL15" i="227" l="1"/>
  <c r="J53" i="225"/>
  <c r="F55" i="229"/>
  <c r="M14" i="229"/>
  <c r="F32" i="229" s="1"/>
  <c r="AK17" i="227"/>
  <c r="M12" i="225"/>
  <c r="M12" i="227"/>
  <c r="M13" i="227"/>
  <c r="AK13" i="225"/>
  <c r="AK14" i="225"/>
  <c r="AL14" i="227"/>
  <c r="AL13" i="227"/>
  <c r="AL10" i="229"/>
  <c r="AL13" i="229" s="1"/>
  <c r="AK12" i="229"/>
  <c r="AK14" i="229" s="1"/>
  <c r="B56" i="229"/>
  <c r="J55" i="229"/>
  <c r="F55" i="227"/>
  <c r="B56" i="227"/>
  <c r="AL12" i="227"/>
  <c r="AM10" i="227"/>
  <c r="AJ15" i="225"/>
  <c r="F55" i="225" s="1"/>
  <c r="B56" i="225"/>
  <c r="AK12" i="225"/>
  <c r="AL10" i="225"/>
  <c r="M17" i="227" l="1"/>
  <c r="AM15" i="227"/>
  <c r="J54" i="225"/>
  <c r="J55" i="225"/>
  <c r="F56" i="229"/>
  <c r="N14" i="225"/>
  <c r="N13" i="225"/>
  <c r="AL17" i="227"/>
  <c r="M15" i="225"/>
  <c r="N12" i="229"/>
  <c r="N14" i="229" s="1"/>
  <c r="F33" i="229" s="1"/>
  <c r="N13" i="227"/>
  <c r="N12" i="227"/>
  <c r="N17" i="227" s="1"/>
  <c r="N12" i="225"/>
  <c r="AM14" i="227"/>
  <c r="AM13" i="227"/>
  <c r="AL14" i="225"/>
  <c r="AL13" i="225"/>
  <c r="B57" i="229"/>
  <c r="J56" i="229"/>
  <c r="AL12" i="229"/>
  <c r="AL14" i="229" s="1"/>
  <c r="AM10" i="229"/>
  <c r="AM13" i="229" s="1"/>
  <c r="AM12" i="227"/>
  <c r="AN10" i="227"/>
  <c r="F56" i="227"/>
  <c r="B57" i="227"/>
  <c r="I33" i="227" s="1"/>
  <c r="B57" i="225"/>
  <c r="AK15" i="225"/>
  <c r="AL12" i="225"/>
  <c r="AM10" i="225"/>
  <c r="I34" i="227" l="1"/>
  <c r="J33" i="227"/>
  <c r="AN15" i="227"/>
  <c r="J56" i="225"/>
  <c r="F57" i="229"/>
  <c r="S13" i="229"/>
  <c r="S14" i="229" s="1"/>
  <c r="F38" i="229" s="1"/>
  <c r="AM17" i="227"/>
  <c r="O14" i="225"/>
  <c r="N15" i="225"/>
  <c r="F33" i="225" s="1"/>
  <c r="O12" i="227"/>
  <c r="O13" i="227"/>
  <c r="AM14" i="225"/>
  <c r="AM13" i="225"/>
  <c r="AN14" i="227"/>
  <c r="AN13" i="227"/>
  <c r="AM12" i="229"/>
  <c r="AM14" i="229" s="1"/>
  <c r="AN10" i="229"/>
  <c r="AN13" i="229" s="1"/>
  <c r="B58" i="229"/>
  <c r="J57" i="229"/>
  <c r="AN12" i="227"/>
  <c r="AO10" i="227"/>
  <c r="F57" i="227"/>
  <c r="B58" i="227"/>
  <c r="I58" i="227" s="1"/>
  <c r="B58" i="225"/>
  <c r="J57" i="225"/>
  <c r="AM12" i="225"/>
  <c r="AN10" i="225"/>
  <c r="AL15" i="225"/>
  <c r="O17" i="227" l="1"/>
  <c r="AO15" i="227"/>
  <c r="I35" i="227"/>
  <c r="J34" i="227"/>
  <c r="F58" i="229"/>
  <c r="P14" i="225"/>
  <c r="P13" i="225"/>
  <c r="T13" i="229"/>
  <c r="T14" i="229" s="1"/>
  <c r="F39" i="229" s="1"/>
  <c r="F34" i="227"/>
  <c r="AN17" i="227"/>
  <c r="O15" i="225"/>
  <c r="F34" i="225" s="1"/>
  <c r="F33" i="227"/>
  <c r="F32" i="225"/>
  <c r="N31" i="229"/>
  <c r="C32" i="229" s="1"/>
  <c r="K32" i="229" s="1"/>
  <c r="M32" i="229" s="1"/>
  <c r="P12" i="227"/>
  <c r="P13" i="227"/>
  <c r="AN13" i="225"/>
  <c r="AN14" i="225"/>
  <c r="AO14" i="227"/>
  <c r="AO13" i="227"/>
  <c r="B59" i="229"/>
  <c r="J58" i="229"/>
  <c r="AN12" i="229"/>
  <c r="AN14" i="229" s="1"/>
  <c r="AO10" i="229"/>
  <c r="AO13" i="229" s="1"/>
  <c r="AO12" i="227"/>
  <c r="AP10" i="227"/>
  <c r="B59" i="227"/>
  <c r="I59" i="227" s="1"/>
  <c r="F58" i="227"/>
  <c r="AM15" i="225"/>
  <c r="F56" i="225" s="1"/>
  <c r="J58" i="225"/>
  <c r="B59" i="225"/>
  <c r="AO10" i="225"/>
  <c r="AN12" i="225"/>
  <c r="P17" i="227" l="1"/>
  <c r="AP15" i="227"/>
  <c r="I36" i="227"/>
  <c r="J35" i="227"/>
  <c r="F59" i="229"/>
  <c r="P15" i="225"/>
  <c r="F35" i="225" s="1"/>
  <c r="T14" i="227"/>
  <c r="T17" i="227" s="1"/>
  <c r="AO17" i="227"/>
  <c r="K31" i="225"/>
  <c r="M31" i="225" s="1"/>
  <c r="F36" i="227"/>
  <c r="K32" i="227"/>
  <c r="M32" i="227" s="1"/>
  <c r="U14" i="227"/>
  <c r="U17" i="227" s="1"/>
  <c r="L32" i="229"/>
  <c r="AO13" i="225"/>
  <c r="AO14" i="225"/>
  <c r="AP14" i="227"/>
  <c r="AP13" i="227"/>
  <c r="AO12" i="229"/>
  <c r="AO14" i="229" s="1"/>
  <c r="AP10" i="229"/>
  <c r="AP13" i="229" s="1"/>
  <c r="B60" i="229"/>
  <c r="J59" i="229"/>
  <c r="B60" i="227"/>
  <c r="I60" i="227" s="1"/>
  <c r="F59" i="227"/>
  <c r="AP12" i="227"/>
  <c r="AQ10" i="227"/>
  <c r="B60" i="225"/>
  <c r="J59" i="225"/>
  <c r="AP10" i="225"/>
  <c r="AO12" i="225"/>
  <c r="AN15" i="225"/>
  <c r="F57" i="225" s="1"/>
  <c r="L32" i="227" l="1"/>
  <c r="AQ15" i="227"/>
  <c r="I37" i="227"/>
  <c r="J36" i="227"/>
  <c r="F60" i="229"/>
  <c r="L31" i="225"/>
  <c r="N31" i="225" s="1"/>
  <c r="C32" i="225" s="1"/>
  <c r="K32" i="225" s="1"/>
  <c r="L32" i="225" s="1"/>
  <c r="F39" i="227"/>
  <c r="F40" i="227"/>
  <c r="AP17" i="227"/>
  <c r="V14" i="227"/>
  <c r="V17" i="227" s="1"/>
  <c r="F35" i="227"/>
  <c r="N32" i="229"/>
  <c r="C33" i="229" s="1"/>
  <c r="K33" i="229" s="1"/>
  <c r="W14" i="227"/>
  <c r="AQ14" i="227"/>
  <c r="AQ13" i="227"/>
  <c r="AP13" i="225"/>
  <c r="AP14" i="225"/>
  <c r="AP12" i="229"/>
  <c r="AP14" i="229" s="1"/>
  <c r="AQ10" i="229"/>
  <c r="AQ13" i="229" s="1"/>
  <c r="B61" i="229"/>
  <c r="J60" i="229"/>
  <c r="F60" i="227"/>
  <c r="AR10" i="227"/>
  <c r="AQ12" i="227"/>
  <c r="B61" i="227"/>
  <c r="I61" i="227" s="1"/>
  <c r="J60" i="227"/>
  <c r="AO15" i="225"/>
  <c r="F58" i="225" s="1"/>
  <c r="B61" i="225"/>
  <c r="J60" i="225"/>
  <c r="AP12" i="225"/>
  <c r="AQ10" i="225"/>
  <c r="W17" i="227" l="1"/>
  <c r="F43" i="227" s="1"/>
  <c r="AR15" i="227"/>
  <c r="I38" i="227"/>
  <c r="J37" i="227"/>
  <c r="F61" i="229"/>
  <c r="AQ17" i="227"/>
  <c r="M32" i="225"/>
  <c r="N32" i="225" s="1"/>
  <c r="C33" i="225" s="1"/>
  <c r="K33" i="225" s="1"/>
  <c r="M33" i="225" s="1"/>
  <c r="N32" i="227"/>
  <c r="F41" i="227"/>
  <c r="F42" i="227"/>
  <c r="L33" i="229"/>
  <c r="M33" i="229"/>
  <c r="AQ13" i="225"/>
  <c r="AQ14" i="225"/>
  <c r="F61" i="227"/>
  <c r="AR13" i="227"/>
  <c r="AR14" i="227"/>
  <c r="J61" i="229"/>
  <c r="B62" i="229"/>
  <c r="AQ12" i="229"/>
  <c r="AQ14" i="229" s="1"/>
  <c r="AR10" i="229"/>
  <c r="AR13" i="229" s="1"/>
  <c r="AS10" i="227"/>
  <c r="AR12" i="227"/>
  <c r="B62" i="227"/>
  <c r="I62" i="227" s="1"/>
  <c r="J61" i="227"/>
  <c r="B62" i="225"/>
  <c r="J61" i="225"/>
  <c r="AQ12" i="225"/>
  <c r="AR10" i="225"/>
  <c r="AP15" i="225"/>
  <c r="F59" i="225" s="1"/>
  <c r="C33" i="227" l="1"/>
  <c r="K33" i="227" s="1"/>
  <c r="M33" i="227" s="1"/>
  <c r="AS15" i="227"/>
  <c r="I39" i="227"/>
  <c r="J38" i="227"/>
  <c r="L33" i="225"/>
  <c r="F62" i="229"/>
  <c r="AR17" i="227"/>
  <c r="AC17" i="227"/>
  <c r="N33" i="229"/>
  <c r="C34" i="229" s="1"/>
  <c r="K34" i="229" s="1"/>
  <c r="F62" i="227"/>
  <c r="AR13" i="225"/>
  <c r="AR14" i="225"/>
  <c r="AS13" i="227"/>
  <c r="AS14" i="227"/>
  <c r="AR12" i="229"/>
  <c r="AR14" i="229" s="1"/>
  <c r="AS10" i="229"/>
  <c r="AS13" i="229" s="1"/>
  <c r="B63" i="229"/>
  <c r="J62" i="229"/>
  <c r="J62" i="227"/>
  <c r="B63" i="227"/>
  <c r="I63" i="227" s="1"/>
  <c r="AS12" i="227"/>
  <c r="AT10" i="227"/>
  <c r="B63" i="225"/>
  <c r="J62" i="225"/>
  <c r="AQ15" i="225"/>
  <c r="F60" i="225" s="1"/>
  <c r="AR12" i="225"/>
  <c r="AS10" i="225"/>
  <c r="L33" i="227" l="1"/>
  <c r="N33" i="227" s="1"/>
  <c r="C34" i="227" s="1"/>
  <c r="K34" i="227" s="1"/>
  <c r="AT15" i="227"/>
  <c r="I40" i="227"/>
  <c r="J39" i="227"/>
  <c r="F47" i="227"/>
  <c r="N33" i="225"/>
  <c r="C34" i="225" s="1"/>
  <c r="K34" i="225" s="1"/>
  <c r="M34" i="229"/>
  <c r="F63" i="229"/>
  <c r="F48" i="227"/>
  <c r="F49" i="227"/>
  <c r="AS17" i="227"/>
  <c r="AS13" i="225"/>
  <c r="AS14" i="225"/>
  <c r="AT13" i="227"/>
  <c r="AT14" i="227"/>
  <c r="F63" i="227"/>
  <c r="J63" i="229"/>
  <c r="B64" i="229"/>
  <c r="AS12" i="229"/>
  <c r="AS14" i="229" s="1"/>
  <c r="F64" i="229" s="1"/>
  <c r="AT10" i="229"/>
  <c r="AT13" i="229" s="1"/>
  <c r="B64" i="227"/>
  <c r="I64" i="227" s="1"/>
  <c r="J63" i="227"/>
  <c r="AT12" i="227"/>
  <c r="AU10" i="227"/>
  <c r="AR15" i="225"/>
  <c r="F61" i="225" s="1"/>
  <c r="J63" i="225"/>
  <c r="B64" i="225"/>
  <c r="AS12" i="225"/>
  <c r="AT10" i="225"/>
  <c r="L34" i="227" l="1"/>
  <c r="M34" i="227"/>
  <c r="AU15" i="227"/>
  <c r="I41" i="227"/>
  <c r="J40" i="227"/>
  <c r="L34" i="225"/>
  <c r="M34" i="225"/>
  <c r="L34" i="229"/>
  <c r="N34" i="229" s="1"/>
  <c r="C35" i="229" s="1"/>
  <c r="K35" i="229" s="1"/>
  <c r="AT17" i="227"/>
  <c r="AT14" i="225"/>
  <c r="AT13" i="225"/>
  <c r="F64" i="227"/>
  <c r="AU13" i="227"/>
  <c r="AU14" i="227"/>
  <c r="AT12" i="229"/>
  <c r="AT14" i="229" s="1"/>
  <c r="AU10" i="229"/>
  <c r="AU13" i="229" s="1"/>
  <c r="B65" i="229"/>
  <c r="J64" i="229"/>
  <c r="AU12" i="227"/>
  <c r="AV10" i="227"/>
  <c r="J64" i="227"/>
  <c r="B65" i="227"/>
  <c r="I65" i="227" s="1"/>
  <c r="J64" i="225"/>
  <c r="B65" i="225"/>
  <c r="AT12" i="225"/>
  <c r="AU10" i="225"/>
  <c r="AS15" i="225"/>
  <c r="F62" i="225" s="1"/>
  <c r="I42" i="227" l="1"/>
  <c r="J41" i="227"/>
  <c r="AV15" i="227"/>
  <c r="N34" i="225"/>
  <c r="C35" i="225" s="1"/>
  <c r="K35" i="225" s="1"/>
  <c r="M35" i="229"/>
  <c r="F65" i="229"/>
  <c r="AU17" i="227"/>
  <c r="N34" i="227"/>
  <c r="C35" i="227" s="1"/>
  <c r="K35" i="227" s="1"/>
  <c r="M35" i="227" s="1"/>
  <c r="AV13" i="227"/>
  <c r="AV14" i="227"/>
  <c r="AU14" i="225"/>
  <c r="AU13" i="225"/>
  <c r="AU12" i="229"/>
  <c r="AU14" i="229" s="1"/>
  <c r="AV10" i="229"/>
  <c r="AV13" i="229" s="1"/>
  <c r="J65" i="229"/>
  <c r="B66" i="227"/>
  <c r="I66" i="227" s="1"/>
  <c r="J65" i="227"/>
  <c r="AV12" i="227"/>
  <c r="AW10" i="227"/>
  <c r="F65" i="227"/>
  <c r="J65" i="225"/>
  <c r="AU12" i="225"/>
  <c r="AV10" i="225"/>
  <c r="AT15" i="225"/>
  <c r="F63" i="225" s="1"/>
  <c r="L35" i="227" l="1"/>
  <c r="AW15" i="227"/>
  <c r="I43" i="227"/>
  <c r="J42" i="227"/>
  <c r="L35" i="225"/>
  <c r="M35" i="225"/>
  <c r="L35" i="229"/>
  <c r="N35" i="229" s="1"/>
  <c r="C36" i="229" s="1"/>
  <c r="AV17" i="227"/>
  <c r="AW13" i="227"/>
  <c r="AW14" i="227"/>
  <c r="AV14" i="225"/>
  <c r="AV13" i="225"/>
  <c r="AV12" i="229"/>
  <c r="AV14" i="229" s="1"/>
  <c r="AW10" i="229"/>
  <c r="AW13" i="229" s="1"/>
  <c r="AW12" i="227"/>
  <c r="AX10" i="227"/>
  <c r="F66" i="227"/>
  <c r="J66" i="227"/>
  <c r="AU15" i="225"/>
  <c r="F64" i="225" s="1"/>
  <c r="AV12" i="225"/>
  <c r="AW10" i="225"/>
  <c r="N35" i="227" l="1"/>
  <c r="C36" i="227" s="1"/>
  <c r="K36" i="227" s="1"/>
  <c r="L36" i="227" s="1"/>
  <c r="AX15" i="227"/>
  <c r="I44" i="227"/>
  <c r="J43" i="227"/>
  <c r="N35" i="225"/>
  <c r="C36" i="225" s="1"/>
  <c r="K36" i="225" s="1"/>
  <c r="K36" i="229"/>
  <c r="L36" i="229" s="1"/>
  <c r="AW17" i="227"/>
  <c r="AX13" i="227"/>
  <c r="AX14" i="227"/>
  <c r="AW14" i="225"/>
  <c r="AW13" i="225"/>
  <c r="AX10" i="229"/>
  <c r="AX13" i="229" s="1"/>
  <c r="AW12" i="229"/>
  <c r="AW14" i="229" s="1"/>
  <c r="AX12" i="227"/>
  <c r="AY10" i="227"/>
  <c r="AX10" i="225"/>
  <c r="AW12" i="225"/>
  <c r="AV15" i="225"/>
  <c r="F65" i="225" s="1"/>
  <c r="M36" i="227" l="1"/>
  <c r="N36" i="227" s="1"/>
  <c r="C37" i="227" s="1"/>
  <c r="K37" i="227" s="1"/>
  <c r="AY15" i="227"/>
  <c r="I45" i="227"/>
  <c r="J44" i="227"/>
  <c r="M36" i="225"/>
  <c r="L36" i="225"/>
  <c r="M36" i="229"/>
  <c r="N36" i="229" s="1"/>
  <c r="C37" i="229" s="1"/>
  <c r="K37" i="229" s="1"/>
  <c r="M37" i="229" s="1"/>
  <c r="AX17" i="227"/>
  <c r="AX14" i="225"/>
  <c r="AX13" i="225"/>
  <c r="AY13" i="227"/>
  <c r="AY14" i="227"/>
  <c r="AY10" i="229"/>
  <c r="AY13" i="229" s="1"/>
  <c r="AX12" i="229"/>
  <c r="AX14" i="229" s="1"/>
  <c r="AY12" i="227"/>
  <c r="AZ10" i="227"/>
  <c r="AY10" i="225"/>
  <c r="AX12" i="225"/>
  <c r="AW15" i="225"/>
  <c r="M37" i="227" l="1"/>
  <c r="L37" i="227"/>
  <c r="AZ15" i="227"/>
  <c r="I46" i="227"/>
  <c r="J45" i="227"/>
  <c r="N36" i="225"/>
  <c r="C37" i="225" s="1"/>
  <c r="K37" i="225" s="1"/>
  <c r="L37" i="229"/>
  <c r="N37" i="229" s="1"/>
  <c r="C38" i="229" s="1"/>
  <c r="K38" i="229" s="1"/>
  <c r="M38" i="229" s="1"/>
  <c r="AY17" i="227"/>
  <c r="AY14" i="225"/>
  <c r="AY13" i="225"/>
  <c r="AZ13" i="227"/>
  <c r="AZ14" i="227"/>
  <c r="AY12" i="229"/>
  <c r="AY14" i="229" s="1"/>
  <c r="AZ10" i="229"/>
  <c r="AZ13" i="229" s="1"/>
  <c r="BA10" i="227"/>
  <c r="AZ12" i="227"/>
  <c r="AX15" i="225"/>
  <c r="AY12" i="225"/>
  <c r="AZ10" i="225"/>
  <c r="L37" i="225" l="1"/>
  <c r="M37" i="225"/>
  <c r="N37" i="227"/>
  <c r="C38" i="227" s="1"/>
  <c r="K38" i="227" s="1"/>
  <c r="M38" i="227" s="1"/>
  <c r="BA15" i="227"/>
  <c r="I47" i="227"/>
  <c r="J46" i="227"/>
  <c r="AZ17" i="227"/>
  <c r="AZ14" i="225"/>
  <c r="AZ13" i="225"/>
  <c r="BA13" i="227"/>
  <c r="BA14" i="227"/>
  <c r="AZ12" i="229"/>
  <c r="AZ14" i="229" s="1"/>
  <c r="BA10" i="229"/>
  <c r="BA13" i="229" s="1"/>
  <c r="BA12" i="227"/>
  <c r="BB10" i="227"/>
  <c r="AZ12" i="225"/>
  <c r="BA10" i="225"/>
  <c r="AY15" i="225"/>
  <c r="N37" i="225" l="1"/>
  <c r="C38" i="225" s="1"/>
  <c r="K38" i="225" s="1"/>
  <c r="L38" i="227"/>
  <c r="N38" i="227" s="1"/>
  <c r="C39" i="227" s="1"/>
  <c r="K39" i="227" s="1"/>
  <c r="M39" i="227" s="1"/>
  <c r="BB15" i="227"/>
  <c r="I48" i="227"/>
  <c r="J47" i="227"/>
  <c r="L38" i="225"/>
  <c r="M38" i="225"/>
  <c r="L38" i="229"/>
  <c r="N38" i="229" s="1"/>
  <c r="C39" i="229" s="1"/>
  <c r="K39" i="229" s="1"/>
  <c r="BA17" i="227"/>
  <c r="BB13" i="227"/>
  <c r="BB14" i="227"/>
  <c r="BA14" i="225"/>
  <c r="BA13" i="225"/>
  <c r="BA12" i="229"/>
  <c r="BA14" i="229" s="1"/>
  <c r="BB10" i="229"/>
  <c r="BB13" i="229" s="1"/>
  <c r="BB12" i="227"/>
  <c r="BC10" i="227"/>
  <c r="BA12" i="225"/>
  <c r="BB10" i="225"/>
  <c r="AZ15" i="225"/>
  <c r="L39" i="227" l="1"/>
  <c r="N39" i="227" s="1"/>
  <c r="C40" i="227" s="1"/>
  <c r="K40" i="227" s="1"/>
  <c r="BC15" i="227"/>
  <c r="I49" i="227"/>
  <c r="J48" i="227"/>
  <c r="N38" i="225"/>
  <c r="C39" i="225" s="1"/>
  <c r="K39" i="225" s="1"/>
  <c r="L39" i="225" s="1"/>
  <c r="M39" i="229"/>
  <c r="BB17" i="227"/>
  <c r="BC14" i="227"/>
  <c r="BC13" i="227"/>
  <c r="BB14" i="225"/>
  <c r="BB13" i="225"/>
  <c r="BB12" i="229"/>
  <c r="BB14" i="229" s="1"/>
  <c r="BC10" i="229"/>
  <c r="BC13" i="229" s="1"/>
  <c r="BD10" i="227"/>
  <c r="BC12" i="227"/>
  <c r="BA15" i="225"/>
  <c r="BB12" i="225"/>
  <c r="BC10" i="225"/>
  <c r="L40" i="227" l="1"/>
  <c r="M40" i="227"/>
  <c r="I50" i="227"/>
  <c r="J49" i="227"/>
  <c r="BD15" i="227"/>
  <c r="M39" i="225"/>
  <c r="L39" i="229"/>
  <c r="N39" i="229" s="1"/>
  <c r="C40" i="229" s="1"/>
  <c r="K40" i="229" s="1"/>
  <c r="BC17" i="227"/>
  <c r="BD14" i="227"/>
  <c r="BD13" i="227"/>
  <c r="BC14" i="225"/>
  <c r="BC13" i="225"/>
  <c r="BD10" i="229"/>
  <c r="BD13" i="229" s="1"/>
  <c r="BC12" i="229"/>
  <c r="BC14" i="229" s="1"/>
  <c r="BE10" i="227"/>
  <c r="BD12" i="227"/>
  <c r="BB15" i="225"/>
  <c r="BD10" i="225"/>
  <c r="BC12" i="225"/>
  <c r="N40" i="227" l="1"/>
  <c r="C41" i="227" s="1"/>
  <c r="K41" i="227" s="1"/>
  <c r="L41" i="227" s="1"/>
  <c r="BE15" i="227"/>
  <c r="I51" i="227"/>
  <c r="J50" i="227"/>
  <c r="N39" i="225"/>
  <c r="C40" i="225" s="1"/>
  <c r="K40" i="225" s="1"/>
  <c r="L40" i="229"/>
  <c r="BD17" i="227"/>
  <c r="BD14" i="225"/>
  <c r="BD13" i="225"/>
  <c r="BE14" i="227"/>
  <c r="BE13" i="227"/>
  <c r="BE10" i="229"/>
  <c r="BE13" i="229" s="1"/>
  <c r="BD12" i="229"/>
  <c r="BD14" i="229" s="1"/>
  <c r="BF10" i="227"/>
  <c r="BE12" i="227"/>
  <c r="BC15" i="225"/>
  <c r="BD12" i="225"/>
  <c r="BE10" i="225"/>
  <c r="M41" i="227" l="1"/>
  <c r="N41" i="227" s="1"/>
  <c r="C42" i="227" s="1"/>
  <c r="K42" i="227" s="1"/>
  <c r="M42" i="227" s="1"/>
  <c r="BF15" i="227"/>
  <c r="I52" i="227"/>
  <c r="J51" i="227"/>
  <c r="M40" i="225"/>
  <c r="L40" i="225"/>
  <c r="M40" i="229"/>
  <c r="N40" i="229" s="1"/>
  <c r="C41" i="229" s="1"/>
  <c r="K41" i="229" s="1"/>
  <c r="BE17" i="227"/>
  <c r="BE13" i="225"/>
  <c r="BE14" i="225"/>
  <c r="BF14" i="227"/>
  <c r="BF13" i="227"/>
  <c r="BE12" i="229"/>
  <c r="BE14" i="229" s="1"/>
  <c r="BF10" i="229"/>
  <c r="BF13" i="229" s="1"/>
  <c r="BF12" i="227"/>
  <c r="BG10" i="227"/>
  <c r="BE12" i="225"/>
  <c r="BF10" i="225"/>
  <c r="BD15" i="225"/>
  <c r="L42" i="227" l="1"/>
  <c r="BG15" i="227"/>
  <c r="I53" i="227"/>
  <c r="J52" i="227"/>
  <c r="N40" i="225"/>
  <c r="C41" i="225" s="1"/>
  <c r="K41" i="225" s="1"/>
  <c r="L41" i="225" s="1"/>
  <c r="L41" i="229"/>
  <c r="M41" i="229"/>
  <c r="BF17" i="227"/>
  <c r="BG14" i="227"/>
  <c r="BG13" i="227"/>
  <c r="BF13" i="225"/>
  <c r="BF14" i="225"/>
  <c r="BF12" i="229"/>
  <c r="BF14" i="229" s="1"/>
  <c r="BG10" i="229"/>
  <c r="BG13" i="229" s="1"/>
  <c r="BG12" i="227"/>
  <c r="BH10" i="227"/>
  <c r="BG10" i="225"/>
  <c r="BF12" i="225"/>
  <c r="BE15" i="225"/>
  <c r="BH15" i="227" l="1"/>
  <c r="I54" i="227"/>
  <c r="J53" i="227"/>
  <c r="M41" i="225"/>
  <c r="N41" i="225" s="1"/>
  <c r="C42" i="225" s="1"/>
  <c r="K42" i="225" s="1"/>
  <c r="N41" i="229"/>
  <c r="C42" i="229" s="1"/>
  <c r="K42" i="229" s="1"/>
  <c r="BG17" i="227"/>
  <c r="N42" i="227"/>
  <c r="C43" i="227" s="1"/>
  <c r="K43" i="227" s="1"/>
  <c r="BG13" i="225"/>
  <c r="BG14" i="225"/>
  <c r="BH14" i="227"/>
  <c r="BH13" i="227"/>
  <c r="BH10" i="229"/>
  <c r="BH13" i="229" s="1"/>
  <c r="BG12" i="229"/>
  <c r="BG14" i="229" s="1"/>
  <c r="BH12" i="227"/>
  <c r="BI10" i="227"/>
  <c r="BF15" i="225"/>
  <c r="BG12" i="225"/>
  <c r="BH10" i="225"/>
  <c r="M43" i="227" l="1"/>
  <c r="L43" i="227"/>
  <c r="BI15" i="227"/>
  <c r="I55" i="227"/>
  <c r="J54" i="227"/>
  <c r="L42" i="225"/>
  <c r="M42" i="225"/>
  <c r="M42" i="229"/>
  <c r="L42" i="229"/>
  <c r="BH17" i="227"/>
  <c r="BI13" i="227"/>
  <c r="BI14" i="227"/>
  <c r="BH13" i="225"/>
  <c r="BH14" i="225"/>
  <c r="BH12" i="229"/>
  <c r="BH14" i="229" s="1"/>
  <c r="BI10" i="229"/>
  <c r="BI13" i="229" s="1"/>
  <c r="BI12" i="227"/>
  <c r="BJ10" i="227"/>
  <c r="BH12" i="225"/>
  <c r="BI10" i="225"/>
  <c r="BG15" i="225"/>
  <c r="N43" i="227" l="1"/>
  <c r="C44" i="227" s="1"/>
  <c r="K44" i="227" s="1"/>
  <c r="M44" i="227" s="1"/>
  <c r="BJ15" i="227"/>
  <c r="I56" i="227"/>
  <c r="J55" i="227"/>
  <c r="N42" i="225"/>
  <c r="C43" i="225" s="1"/>
  <c r="K43" i="225" s="1"/>
  <c r="N42" i="229"/>
  <c r="C43" i="229" s="1"/>
  <c r="K43" i="229" s="1"/>
  <c r="BI17" i="227"/>
  <c r="BI13" i="225"/>
  <c r="BI14" i="225"/>
  <c r="BJ13" i="227"/>
  <c r="BJ14" i="227"/>
  <c r="BH15" i="225"/>
  <c r="BI12" i="229"/>
  <c r="BI14" i="229" s="1"/>
  <c r="BJ10" i="229"/>
  <c r="BJ13" i="229" s="1"/>
  <c r="BJ12" i="227"/>
  <c r="BK10" i="227"/>
  <c r="BJ10" i="225"/>
  <c r="BI12" i="225"/>
  <c r="L44" i="227" l="1"/>
  <c r="N44" i="227" s="1"/>
  <c r="C45" i="227" s="1"/>
  <c r="K45" i="227" s="1"/>
  <c r="I57" i="227"/>
  <c r="J56" i="227"/>
  <c r="BK15" i="227"/>
  <c r="L43" i="225"/>
  <c r="M43" i="225"/>
  <c r="L43" i="229"/>
  <c r="BJ17" i="227"/>
  <c r="BI15" i="225"/>
  <c r="BK14" i="227"/>
  <c r="BK13" i="227"/>
  <c r="BJ13" i="225"/>
  <c r="BJ14" i="225"/>
  <c r="BJ12" i="229"/>
  <c r="BJ14" i="229" s="1"/>
  <c r="BK10" i="229"/>
  <c r="BK13" i="229" s="1"/>
  <c r="BK12" i="227"/>
  <c r="BL10" i="227"/>
  <c r="BK10" i="225"/>
  <c r="BJ12" i="225"/>
  <c r="L45" i="227" l="1"/>
  <c r="M45" i="227"/>
  <c r="BL15" i="227"/>
  <c r="J57" i="227"/>
  <c r="J58" i="227"/>
  <c r="J59" i="227"/>
  <c r="N43" i="225"/>
  <c r="C44" i="225" s="1"/>
  <c r="K44" i="225" s="1"/>
  <c r="M43" i="229"/>
  <c r="N43" i="229" s="1"/>
  <c r="C44" i="229" s="1"/>
  <c r="K44" i="229" s="1"/>
  <c r="BK17" i="227"/>
  <c r="BJ15" i="225"/>
  <c r="BL14" i="227"/>
  <c r="BL13" i="227"/>
  <c r="BK13" i="225"/>
  <c r="BK14" i="225"/>
  <c r="BK12" i="229"/>
  <c r="BK14" i="229" s="1"/>
  <c r="BL10" i="229"/>
  <c r="BL13" i="229" s="1"/>
  <c r="BL12" i="227"/>
  <c r="BM10" i="227"/>
  <c r="BL10" i="225"/>
  <c r="BK12" i="225"/>
  <c r="N45" i="227" l="1"/>
  <c r="C46" i="227" s="1"/>
  <c r="K46" i="227" s="1"/>
  <c r="L46" i="227" s="1"/>
  <c r="BM15" i="227"/>
  <c r="M44" i="225"/>
  <c r="L44" i="225"/>
  <c r="M44" i="229"/>
  <c r="L44" i="229"/>
  <c r="BL17" i="227"/>
  <c r="BL13" i="225"/>
  <c r="BL14" i="225"/>
  <c r="BM14" i="227"/>
  <c r="BM13" i="227"/>
  <c r="BL12" i="229"/>
  <c r="BL14" i="229" s="1"/>
  <c r="BM10" i="229"/>
  <c r="BM13" i="229" s="1"/>
  <c r="BN10" i="227"/>
  <c r="BM12" i="227"/>
  <c r="BK15" i="225"/>
  <c r="BL12" i="225"/>
  <c r="BM10" i="225"/>
  <c r="M46" i="227" l="1"/>
  <c r="N46" i="227" s="1"/>
  <c r="C47" i="227" s="1"/>
  <c r="K47" i="227" s="1"/>
  <c r="L47" i="227" s="1"/>
  <c r="BN15" i="227"/>
  <c r="N44" i="225"/>
  <c r="C45" i="225" s="1"/>
  <c r="K45" i="225" s="1"/>
  <c r="L45" i="225" s="1"/>
  <c r="N44" i="229"/>
  <c r="C45" i="229" s="1"/>
  <c r="K45" i="229" s="1"/>
  <c r="BM17" i="227"/>
  <c r="BM13" i="225"/>
  <c r="BM14" i="225"/>
  <c r="BN14" i="227"/>
  <c r="BN13" i="227"/>
  <c r="BM12" i="229"/>
  <c r="BM14" i="229" s="1"/>
  <c r="BN10" i="229"/>
  <c r="BN13" i="229" s="1"/>
  <c r="BO10" i="227"/>
  <c r="BN12" i="227"/>
  <c r="BL15" i="225"/>
  <c r="BM12" i="225"/>
  <c r="BN10" i="225"/>
  <c r="M47" i="227" l="1"/>
  <c r="N47" i="227" s="1"/>
  <c r="C48" i="227" s="1"/>
  <c r="K48" i="227" s="1"/>
  <c r="BO15" i="227"/>
  <c r="M45" i="225"/>
  <c r="N45" i="225" s="1"/>
  <c r="C46" i="225" s="1"/>
  <c r="K46" i="225" s="1"/>
  <c r="M45" i="229"/>
  <c r="BN17" i="227"/>
  <c r="BO14" i="227"/>
  <c r="BO13" i="227"/>
  <c r="BN13" i="225"/>
  <c r="BN14" i="225"/>
  <c r="BN12" i="229"/>
  <c r="BN14" i="229" s="1"/>
  <c r="BO10" i="229"/>
  <c r="BO13" i="229" s="1"/>
  <c r="BO12" i="227"/>
  <c r="BP10" i="227"/>
  <c r="BM15" i="225"/>
  <c r="BN12" i="225"/>
  <c r="BO10" i="225"/>
  <c r="L48" i="227" l="1"/>
  <c r="M48" i="227"/>
  <c r="BP15" i="227"/>
  <c r="L46" i="225"/>
  <c r="M46" i="225"/>
  <c r="L45" i="229"/>
  <c r="N45" i="229" s="1"/>
  <c r="C46" i="229" s="1"/>
  <c r="BO17" i="227"/>
  <c r="BP14" i="227"/>
  <c r="BP13" i="227"/>
  <c r="BO13" i="225"/>
  <c r="BO14" i="225"/>
  <c r="BO12" i="229"/>
  <c r="BO14" i="229" s="1"/>
  <c r="BP10" i="229"/>
  <c r="BP13" i="229" s="1"/>
  <c r="BP12" i="227"/>
  <c r="BQ10" i="227"/>
  <c r="BO12" i="225"/>
  <c r="BP10" i="225"/>
  <c r="BN15" i="225"/>
  <c r="N48" i="227" l="1"/>
  <c r="C49" i="227" s="1"/>
  <c r="K49" i="227" s="1"/>
  <c r="M49" i="227" s="1"/>
  <c r="BQ15" i="227"/>
  <c r="N46" i="225"/>
  <c r="C47" i="225" s="1"/>
  <c r="K47" i="225" s="1"/>
  <c r="K46" i="229"/>
  <c r="M46" i="229" s="1"/>
  <c r="BP17" i="227"/>
  <c r="BQ14" i="227"/>
  <c r="BQ13" i="227"/>
  <c r="BP14" i="225"/>
  <c r="BP13" i="225"/>
  <c r="BP12" i="229"/>
  <c r="BP14" i="229" s="1"/>
  <c r="BQ10" i="229"/>
  <c r="BQ13" i="229" s="1"/>
  <c r="BQ12" i="227"/>
  <c r="BR10" i="227"/>
  <c r="BP12" i="225"/>
  <c r="BQ10" i="225"/>
  <c r="BO15" i="225"/>
  <c r="L49" i="227" l="1"/>
  <c r="N49" i="227" s="1"/>
  <c r="C50" i="227" s="1"/>
  <c r="K50" i="227" s="1"/>
  <c r="BR15" i="227"/>
  <c r="L47" i="225"/>
  <c r="M47" i="225"/>
  <c r="L46" i="229"/>
  <c r="N46" i="229" s="1"/>
  <c r="C47" i="229" s="1"/>
  <c r="K47" i="229" s="1"/>
  <c r="L47" i="229" s="1"/>
  <c r="BQ17" i="227"/>
  <c r="BQ14" i="225"/>
  <c r="BQ13" i="225"/>
  <c r="BR14" i="227"/>
  <c r="BR13" i="227"/>
  <c r="BQ12" i="229"/>
  <c r="BQ14" i="229" s="1"/>
  <c r="BR10" i="229"/>
  <c r="BR13" i="229" s="1"/>
  <c r="BR12" i="227"/>
  <c r="BS10" i="227"/>
  <c r="BQ12" i="225"/>
  <c r="BR10" i="225"/>
  <c r="BP15" i="225"/>
  <c r="M50" i="227" l="1"/>
  <c r="L50" i="227"/>
  <c r="BS15" i="227"/>
  <c r="N47" i="225"/>
  <c r="C48" i="225" s="1"/>
  <c r="K48" i="225" s="1"/>
  <c r="L48" i="225" s="1"/>
  <c r="M47" i="229"/>
  <c r="N47" i="229" s="1"/>
  <c r="C48" i="229" s="1"/>
  <c r="BR17" i="227"/>
  <c r="BR14" i="225"/>
  <c r="BR13" i="225"/>
  <c r="BS13" i="227"/>
  <c r="BT13" i="227" s="1"/>
  <c r="BS14" i="227"/>
  <c r="BT14" i="227" s="1"/>
  <c r="BR12" i="229"/>
  <c r="BR14" i="229" s="1"/>
  <c r="BS10" i="229"/>
  <c r="BS13" i="229" s="1"/>
  <c r="BS12" i="227"/>
  <c r="BR12" i="225"/>
  <c r="BS10" i="225"/>
  <c r="BQ15" i="225"/>
  <c r="N50" i="227" l="1"/>
  <c r="C51" i="227" s="1"/>
  <c r="K51" i="227" s="1"/>
  <c r="M51" i="227" s="1"/>
  <c r="M48" i="225"/>
  <c r="N48" i="225" s="1"/>
  <c r="C49" i="225" s="1"/>
  <c r="K49" i="225" s="1"/>
  <c r="K48" i="229"/>
  <c r="M48" i="229" s="1"/>
  <c r="BS17" i="227"/>
  <c r="BS14" i="225"/>
  <c r="BT14" i="225" s="1"/>
  <c r="BS13" i="225"/>
  <c r="BT13" i="225" s="1"/>
  <c r="BS12" i="229"/>
  <c r="BS14" i="229" s="1"/>
  <c r="BT12" i="227"/>
  <c r="BS12" i="225"/>
  <c r="BR15" i="225"/>
  <c r="L51" i="227" l="1"/>
  <c r="N51" i="227" s="1"/>
  <c r="C52" i="227" s="1"/>
  <c r="K52" i="227" s="1"/>
  <c r="L49" i="225"/>
  <c r="M49" i="225"/>
  <c r="L48" i="229"/>
  <c r="N48" i="229" s="1"/>
  <c r="C49" i="229" s="1"/>
  <c r="K49" i="229" s="1"/>
  <c r="L49" i="229" s="1"/>
  <c r="E20" i="211"/>
  <c r="BT14" i="229"/>
  <c r="BS15" i="225"/>
  <c r="BT12" i="225"/>
  <c r="L52" i="227" l="1"/>
  <c r="M52" i="227"/>
  <c r="N49" i="225"/>
  <c r="C50" i="225" s="1"/>
  <c r="K50" i="225" s="1"/>
  <c r="M49" i="229"/>
  <c r="N49" i="229" s="1"/>
  <c r="C50" i="229" s="1"/>
  <c r="N52" i="227" l="1"/>
  <c r="C53" i="227" s="1"/>
  <c r="K53" i="227" s="1"/>
  <c r="M50" i="225"/>
  <c r="L50" i="225"/>
  <c r="K50" i="229"/>
  <c r="M50" i="229" s="1"/>
  <c r="L53" i="227" l="1"/>
  <c r="M53" i="227"/>
  <c r="N50" i="225"/>
  <c r="C51" i="225" s="1"/>
  <c r="K51" i="225" s="1"/>
  <c r="L50" i="229"/>
  <c r="N50" i="229" s="1"/>
  <c r="C51" i="229" s="1"/>
  <c r="K51" i="229" s="1"/>
  <c r="L51" i="229" s="1"/>
  <c r="N53" i="227" l="1"/>
  <c r="C54" i="227" s="1"/>
  <c r="K54" i="227" s="1"/>
  <c r="L54" i="227" s="1"/>
  <c r="M54" i="227"/>
  <c r="N54" i="227" s="1"/>
  <c r="C55" i="227" s="1"/>
  <c r="K55" i="227" s="1"/>
  <c r="L55" i="227" s="1"/>
  <c r="L51" i="225"/>
  <c r="M51" i="225"/>
  <c r="M51" i="229"/>
  <c r="N51" i="229" s="1"/>
  <c r="C52" i="229" s="1"/>
  <c r="M55" i="227" l="1"/>
  <c r="N55" i="227" s="1"/>
  <c r="C56" i="227" s="1"/>
  <c r="K56" i="227" s="1"/>
  <c r="N51" i="225"/>
  <c r="C52" i="225" s="1"/>
  <c r="K52" i="225" s="1"/>
  <c r="K52" i="229"/>
  <c r="M52" i="229" s="1"/>
  <c r="L56" i="227" l="1"/>
  <c r="M56" i="227"/>
  <c r="L52" i="225"/>
  <c r="M52" i="225"/>
  <c r="L52" i="229"/>
  <c r="N52" i="229" s="1"/>
  <c r="C53" i="229" s="1"/>
  <c r="K53" i="229" s="1"/>
  <c r="L53" i="229" s="1"/>
  <c r="N52" i="225" l="1"/>
  <c r="C53" i="225" s="1"/>
  <c r="K53" i="225" s="1"/>
  <c r="L53" i="225" s="1"/>
  <c r="M53" i="229"/>
  <c r="N53" i="229" s="1"/>
  <c r="C54" i="229" s="1"/>
  <c r="K54" i="229" s="1"/>
  <c r="N56" i="227"/>
  <c r="C57" i="227" s="1"/>
  <c r="K57" i="227" s="1"/>
  <c r="L57" i="227" l="1"/>
  <c r="M57" i="227"/>
  <c r="M53" i="225"/>
  <c r="N53" i="225" s="1"/>
  <c r="C54" i="225" s="1"/>
  <c r="K54" i="225" s="1"/>
  <c r="M54" i="229"/>
  <c r="L54" i="229"/>
  <c r="N57" i="227" l="1"/>
  <c r="C58" i="227" s="1"/>
  <c r="K58" i="227" s="1"/>
  <c r="M58" i="227" s="1"/>
  <c r="M54" i="225"/>
  <c r="L54" i="225"/>
  <c r="N54" i="229"/>
  <c r="C55" i="229" s="1"/>
  <c r="K55" i="229" s="1"/>
  <c r="L58" i="227" l="1"/>
  <c r="N58" i="227" s="1"/>
  <c r="C59" i="227" s="1"/>
  <c r="K59" i="227" s="1"/>
  <c r="L59" i="227" s="1"/>
  <c r="N54" i="225"/>
  <c r="C55" i="225" s="1"/>
  <c r="K55" i="225" s="1"/>
  <c r="L55" i="229"/>
  <c r="M59" i="227" l="1"/>
  <c r="L55" i="225"/>
  <c r="M55" i="225"/>
  <c r="M55" i="229"/>
  <c r="N55" i="229" s="1"/>
  <c r="C56" i="229" s="1"/>
  <c r="N59" i="227"/>
  <c r="N55" i="225" l="1"/>
  <c r="C56" i="225" s="1"/>
  <c r="K56" i="225" s="1"/>
  <c r="K56" i="229"/>
  <c r="L56" i="229" s="1"/>
  <c r="C60" i="227"/>
  <c r="K60" i="227" s="1"/>
  <c r="L60" i="227" l="1"/>
  <c r="M60" i="227"/>
  <c r="L56" i="225"/>
  <c r="M56" i="225"/>
  <c r="M56" i="229"/>
  <c r="N56" i="229" s="1"/>
  <c r="C57" i="229" s="1"/>
  <c r="K57" i="229" s="1"/>
  <c r="L57" i="229" s="1"/>
  <c r="N60" i="227" l="1"/>
  <c r="C61" i="227" s="1"/>
  <c r="K61" i="227" s="1"/>
  <c r="N56" i="225"/>
  <c r="C57" i="225" s="1"/>
  <c r="K57" i="225" s="1"/>
  <c r="M57" i="225" s="1"/>
  <c r="M57" i="229"/>
  <c r="N57" i="229" s="1"/>
  <c r="L61" i="227" l="1"/>
  <c r="M61" i="227"/>
  <c r="L57" i="225"/>
  <c r="N57" i="225" s="1"/>
  <c r="C58" i="225" s="1"/>
  <c r="K58" i="225" s="1"/>
  <c r="C58" i="229"/>
  <c r="K58" i="229" s="1"/>
  <c r="N61" i="227" l="1"/>
  <c r="C62" i="227" s="1"/>
  <c r="K62" i="227" s="1"/>
  <c r="L62" i="227" s="1"/>
  <c r="M58" i="225"/>
  <c r="L58" i="225"/>
  <c r="M58" i="229"/>
  <c r="M62" i="227" l="1"/>
  <c r="N62" i="227" s="1"/>
  <c r="C63" i="227" s="1"/>
  <c r="K63" i="227" s="1"/>
  <c r="L63" i="227" s="1"/>
  <c r="N58" i="225"/>
  <c r="C59" i="225" s="1"/>
  <c r="K59" i="225" s="1"/>
  <c r="M59" i="225" s="1"/>
  <c r="L58" i="229"/>
  <c r="N58" i="229" s="1"/>
  <c r="C59" i="229" s="1"/>
  <c r="K59" i="229" s="1"/>
  <c r="M63" i="227" l="1"/>
  <c r="N63" i="227" s="1"/>
  <c r="C64" i="227" s="1"/>
  <c r="K64" i="227" s="1"/>
  <c r="L64" i="227" s="1"/>
  <c r="L59" i="225"/>
  <c r="N59" i="225" s="1"/>
  <c r="C60" i="225" s="1"/>
  <c r="K60" i="225" s="1"/>
  <c r="L60" i="225" s="1"/>
  <c r="L59" i="229"/>
  <c r="M64" i="227" l="1"/>
  <c r="N64" i="227" s="1"/>
  <c r="C65" i="227" s="1"/>
  <c r="K65" i="227" s="1"/>
  <c r="M65" i="227" s="1"/>
  <c r="M60" i="225"/>
  <c r="N60" i="225" s="1"/>
  <c r="C61" i="225" s="1"/>
  <c r="K61" i="225" s="1"/>
  <c r="L61" i="225" s="1"/>
  <c r="M59" i="229"/>
  <c r="N59" i="229" s="1"/>
  <c r="L65" i="227" l="1"/>
  <c r="N65" i="227" s="1"/>
  <c r="C66" i="227" s="1"/>
  <c r="K66" i="227" s="1"/>
  <c r="L66" i="227" s="1"/>
  <c r="M61" i="225"/>
  <c r="N61" i="225" s="1"/>
  <c r="C62" i="225" s="1"/>
  <c r="K62" i="225" s="1"/>
  <c r="L62" i="225" s="1"/>
  <c r="C60" i="229"/>
  <c r="K60" i="229" s="1"/>
  <c r="L60" i="229" s="1"/>
  <c r="M66" i="227" l="1"/>
  <c r="N66" i="227" s="1"/>
  <c r="M62" i="225"/>
  <c r="N62" i="225" s="1"/>
  <c r="C63" i="225" s="1"/>
  <c r="K63" i="225" s="1"/>
  <c r="M63" i="225" s="1"/>
  <c r="M60" i="229"/>
  <c r="N60" i="229" s="1"/>
  <c r="C61" i="229" s="1"/>
  <c r="K61" i="229" s="1"/>
  <c r="L63" i="225" l="1"/>
  <c r="N63" i="225" s="1"/>
  <c r="C64" i="225" s="1"/>
  <c r="K64" i="225" s="1"/>
  <c r="L64" i="225" s="1"/>
  <c r="M61" i="229"/>
  <c r="M64" i="225" l="1"/>
  <c r="N64" i="225" s="1"/>
  <c r="C65" i="225" s="1"/>
  <c r="K65" i="225" s="1"/>
  <c r="M65" i="225" s="1"/>
  <c r="L61" i="229"/>
  <c r="N61" i="229" s="1"/>
  <c r="C62" i="229" s="1"/>
  <c r="K62" i="229" s="1"/>
  <c r="L65" i="225" l="1"/>
  <c r="N65" i="225" s="1"/>
  <c r="M62" i="229"/>
  <c r="L62" i="229"/>
  <c r="N62" i="229" l="1"/>
  <c r="C63" i="229" s="1"/>
  <c r="K63" i="229" s="1"/>
  <c r="M63" i="229" l="1"/>
  <c r="L63" i="229" l="1"/>
  <c r="N63" i="229" s="1"/>
  <c r="C64" i="229" s="1"/>
  <c r="K64" i="229" l="1"/>
  <c r="M64" i="229" s="1"/>
  <c r="L64" i="229" l="1"/>
  <c r="N64" i="229" s="1"/>
  <c r="C65" i="229" s="1"/>
  <c r="K65" i="229" s="1"/>
  <c r="M65" i="229" l="1"/>
  <c r="L65" i="229"/>
  <c r="N65" i="229" l="1"/>
  <c r="P6" i="210" l="1"/>
</calcChain>
</file>

<file path=xl/sharedStrings.xml><?xml version="1.0" encoding="utf-8"?>
<sst xmlns="http://schemas.openxmlformats.org/spreadsheetml/2006/main" count="565" uniqueCount="298">
  <si>
    <t>Project #</t>
  </si>
  <si>
    <t>Category and Project Description</t>
  </si>
  <si>
    <t>Timing</t>
  </si>
  <si>
    <t>Years</t>
  </si>
  <si>
    <t>Start Year</t>
  </si>
  <si>
    <t>End Year</t>
  </si>
  <si>
    <t>TOTAL</t>
  </si>
  <si>
    <t>+</t>
  </si>
  <si>
    <t>-</t>
  </si>
  <si>
    <t>Year</t>
  </si>
  <si>
    <t>Total</t>
  </si>
  <si>
    <t>starting</t>
  </si>
  <si>
    <t>b</t>
  </si>
  <si>
    <t>a</t>
  </si>
  <si>
    <t>f</t>
  </si>
  <si>
    <t>e</t>
  </si>
  <si>
    <t>g</t>
  </si>
  <si>
    <t>h</t>
  </si>
  <si>
    <t>i</t>
  </si>
  <si>
    <t>j</t>
  </si>
  <si>
    <t>Benefit to New Development</t>
  </si>
  <si>
    <t>Benefit to Exisitng Development</t>
  </si>
  <si>
    <t>Annual total (ha)</t>
  </si>
  <si>
    <t>Current Year</t>
  </si>
  <si>
    <t xml:space="preserve">enter figure </t>
  </si>
  <si>
    <t>Interest Rates (%)</t>
  </si>
  <si>
    <t>Off-site Levy Project Costs before  Cost Deductions</t>
  </si>
  <si>
    <t>Off-site Levy Recoverable</t>
  </si>
  <si>
    <t>Payment Timing - Off-site Levies</t>
  </si>
  <si>
    <t>Population Growth Rate</t>
  </si>
  <si>
    <t>Annual Population Growth</t>
  </si>
  <si>
    <t>Project Description</t>
  </si>
  <si>
    <t>Water Supply and Treatment</t>
  </si>
  <si>
    <t>Town of Okotoks</t>
  </si>
  <si>
    <t>Off-site Levy Fee Reserve Fund Closing Balance</t>
  </si>
  <si>
    <t>Cumulative Surplus (Deficit)</t>
  </si>
  <si>
    <t>Anticipated Fee Revenue</t>
  </si>
  <si>
    <t>Hectares per year</t>
  </si>
  <si>
    <t>Off-site Levy Fee Reserve Fund Opening Balance</t>
  </si>
  <si>
    <t>Year Beginning</t>
  </si>
  <si>
    <t>Future Value Compounded Interest</t>
  </si>
  <si>
    <t>Net Project Cost</t>
  </si>
  <si>
    <t>Water</t>
  </si>
  <si>
    <t>Water Distribution</t>
  </si>
  <si>
    <t>Description</t>
  </si>
  <si>
    <t>Cumulative total (ha)</t>
  </si>
  <si>
    <t>Cumulative Residential (ha)</t>
  </si>
  <si>
    <t>Cumulative Non-Residential (ha)</t>
  </si>
  <si>
    <t>Sub-regional pipeline to supply the Town with raw water from the Bow River. Project is being developed in partnership with Foothills County and includes an intake, raw water supply and storage.</t>
  </si>
  <si>
    <t>25yr Window</t>
  </si>
  <si>
    <t>Water  Supply/Treatment</t>
  </si>
  <si>
    <t>Water Distribution/Storage</t>
  </si>
  <si>
    <t>Inflation Rate</t>
  </si>
  <si>
    <t>Benefit to Growth</t>
  </si>
  <si>
    <t>Benefit to Existing</t>
  </si>
  <si>
    <t xml:space="preserve">Benefit </t>
  </si>
  <si>
    <t>Project Costs</t>
  </si>
  <si>
    <t>Growth Share</t>
  </si>
  <si>
    <t>Existing Share</t>
  </si>
  <si>
    <t>Code</t>
  </si>
  <si>
    <t>Name</t>
  </si>
  <si>
    <t>No</t>
  </si>
  <si>
    <t>Yes</t>
  </si>
  <si>
    <t>Oversize Cost Recovery</t>
  </si>
  <si>
    <t>Zone 4N Additional 500 mm HDPE Feedermain</t>
  </si>
  <si>
    <t>Sheep River Heights Pressure Reducing Valve</t>
  </si>
  <si>
    <t>Sheep River CT Pressure Reducing Valve</t>
  </si>
  <si>
    <t>4A</t>
  </si>
  <si>
    <t>Financing</t>
  </si>
  <si>
    <t xml:space="preserve">Funding </t>
  </si>
  <si>
    <t>Engineering (15%)</t>
  </si>
  <si>
    <t>Town</t>
  </si>
  <si>
    <t>OSL</t>
  </si>
  <si>
    <t>Assumed Approach to</t>
  </si>
  <si>
    <t>Foothills Share</t>
  </si>
  <si>
    <t xml:space="preserve">OSL </t>
  </si>
  <si>
    <t>Okotoks Share</t>
  </si>
  <si>
    <t>Benefit to Okotoks</t>
  </si>
  <si>
    <t>Regional Benefit</t>
  </si>
  <si>
    <t>Contingency (%)</t>
  </si>
  <si>
    <t>Cost Deductions (Grants, Local Developer Contributions)</t>
  </si>
  <si>
    <t>c</t>
  </si>
  <si>
    <t>d</t>
  </si>
  <si>
    <t>k</t>
  </si>
  <si>
    <t>Infrastructure Category</t>
  </si>
  <si>
    <t>Water Storage</t>
  </si>
  <si>
    <t>Project Stage</t>
  </si>
  <si>
    <t>Conceptual</t>
  </si>
  <si>
    <t>Preliminary Design</t>
  </si>
  <si>
    <t>Detailed Design</t>
  </si>
  <si>
    <t>Tendered</t>
  </si>
  <si>
    <t>Project Costs w/o Contingency ($2024)</t>
  </si>
  <si>
    <t xml:space="preserve">Project Costs </t>
  </si>
  <si>
    <t>Total Project Cost ($2024)</t>
  </si>
  <si>
    <t>Share</t>
  </si>
  <si>
    <t>Oversize</t>
  </si>
  <si>
    <t>South Okotoks Reservoir Supply Pump Station</t>
  </si>
  <si>
    <t>South Okotoks Reservoir Phase 1 (8,100 m3)</t>
  </si>
  <si>
    <t>Project Costs w/o Contingency ($2022)</t>
  </si>
  <si>
    <t>Water Supply - OSL</t>
  </si>
  <si>
    <t>Water Storage - OSL</t>
  </si>
  <si>
    <t>Water Distribution - OSL</t>
  </si>
  <si>
    <t>Inflation Rates (%) - Levy Rate</t>
  </si>
  <si>
    <t>25 year window</t>
  </si>
  <si>
    <t>MODEL ASSUMPTIONS</t>
  </si>
  <si>
    <t>Total Project Cost ($2022)</t>
  </si>
  <si>
    <t>Construction</t>
  </si>
  <si>
    <t>Inflated Project Costs</t>
  </si>
  <si>
    <t>Cumulative</t>
  </si>
  <si>
    <t>8A</t>
  </si>
  <si>
    <t>450 mm South Okotoks Twin Supply Mains</t>
  </si>
  <si>
    <t>8B</t>
  </si>
  <si>
    <t>Total Project Cost ($2025)</t>
  </si>
  <si>
    <t>Water Supply</t>
  </si>
  <si>
    <t>Pipe / Road Length (m)</t>
  </si>
  <si>
    <t>Total Project Cost ($2023)</t>
  </si>
  <si>
    <t>Project Costs w/o Contingency ($2025)</t>
  </si>
  <si>
    <t>Benefit to Foothills</t>
  </si>
  <si>
    <t>Expenses in 2024 ($2024)</t>
  </si>
  <si>
    <t>Annual Employment Growth</t>
  </si>
  <si>
    <t>Annual Residential Hectare Growth (ha)</t>
  </si>
  <si>
    <t>Annual Employment Hectare Growth (ha)</t>
  </si>
  <si>
    <t>Residential Population</t>
  </si>
  <si>
    <t>Zone 4N Additional 500 mm HDPE Feedermain (Northridge Drive/Banister Gate Intersection - Robinson Drive/Suntree Lane Intersection)</t>
  </si>
  <si>
    <t>Sheep River Heights Pressure Reducing Valve (Sheep River Heights)</t>
  </si>
  <si>
    <t>Sheep River CT Pressure Reducing Valve (Sheep River Blvd)</t>
  </si>
  <si>
    <t>South Okotoks Reservoir Phase 1 (8,100 m3) (S-2)</t>
  </si>
  <si>
    <t>South Okotoks Reservoir Supply Pump Station (S-2)</t>
  </si>
  <si>
    <t>450 mm South Okotoks Twin Supply Mains and Upgraded Network (S-2, S-12, Big Rock Trail/Sheepriver Drive intersection - Woodhaven Drive/Woodbend Way Intersection)</t>
  </si>
  <si>
    <t>Total Project Cost ($2026)</t>
  </si>
  <si>
    <t>Future/Remaining Project Costs ($2026)</t>
  </si>
  <si>
    <t>Expenses in 2025 ($2025)</t>
  </si>
  <si>
    <t>Sub-Regional Raw Water Pipeline - Phase 1</t>
  </si>
  <si>
    <t>Sub-Regional Raw Water Pipeline - Phase 2</t>
  </si>
  <si>
    <t>Calculations based on: </t>
  </si>
  <si>
    <t>Term is 25 Years</t>
  </si>
  <si>
    <t>Loan Type is Blended</t>
  </si>
  <si>
    <t>Deferred payments NA</t>
  </si>
  <si>
    <t>Payment #</t>
  </si>
  <si>
    <t>Payment</t>
  </si>
  <si>
    <t>Principal</t>
  </si>
  <si>
    <t>Interest</t>
  </si>
  <si>
    <t>Balance</t>
  </si>
  <si>
    <t>Totals:</t>
  </si>
  <si>
    <t>TD Loan Schedule</t>
  </si>
  <si>
    <t>Principal is $29,800,000.00</t>
  </si>
  <si>
    <t>Interest rate of 3.85 %</t>
  </si>
  <si>
    <t>Regional Water</t>
  </si>
  <si>
    <t>Debentures</t>
  </si>
  <si>
    <t>Project Constructed and Funded under existing Debenture?</t>
  </si>
  <si>
    <t>Phase 2 will include the addition of a second cell to the raw water reservoir as well as added pumping capacity to the Intake Pump Station and Midline Pump Station.</t>
  </si>
  <si>
    <t>Project Expenditures</t>
  </si>
  <si>
    <t>Grants</t>
  </si>
  <si>
    <t>Debenture Principle ($)</t>
  </si>
  <si>
    <t>Expenses in 2023 ($2023)</t>
  </si>
  <si>
    <t>11A</t>
  </si>
  <si>
    <t>11B</t>
  </si>
  <si>
    <t>Project Cost in Year of Delivery</t>
  </si>
  <si>
    <t>2026 Project Costs</t>
  </si>
  <si>
    <t>Water Distribution OSL Project List</t>
  </si>
  <si>
    <t>Water Supply and Treatment OSL Project List</t>
  </si>
  <si>
    <t>Water Storage OSL Project List</t>
  </si>
  <si>
    <t>25 Year Program</t>
  </si>
  <si>
    <t>Source: https://regionaldashboard.alberta.ca/region/okotoks/population/#/?from=2021&amp;to=2025</t>
  </si>
  <si>
    <t>Water Distribution - 25 Year Revolving</t>
  </si>
  <si>
    <t>Water Storage - 25 Year Revolving</t>
  </si>
  <si>
    <t>Debenture Details from Town</t>
  </si>
  <si>
    <t>2020 Debenture</t>
  </si>
  <si>
    <t>Loan Amount</t>
  </si>
  <si>
    <t>Payment Frequency</t>
  </si>
  <si>
    <t>Borrowing Rate</t>
  </si>
  <si>
    <t>Term (years)</t>
  </si>
  <si>
    <t>Debenture Payment (P+I) Schedule</t>
  </si>
  <si>
    <t>Total P+I Annually</t>
  </si>
  <si>
    <t>Allocation to Growth</t>
  </si>
  <si>
    <t>Levy Inflation Rate Annually</t>
  </si>
  <si>
    <t>Levy Rate</t>
  </si>
  <si>
    <t>End of 2025 Fund Balances</t>
  </si>
  <si>
    <t>Bi-Annually</t>
  </si>
  <si>
    <t xml:space="preserve">Growth-related Expenditures </t>
  </si>
  <si>
    <t>Growth-related Expenditures</t>
  </si>
  <si>
    <t>Current Levy ($2026)</t>
  </si>
  <si>
    <t>Year of Delivery</t>
  </si>
  <si>
    <t>Bank of Canada:</t>
  </si>
  <si>
    <t>Alberta Capital Finance:</t>
  </si>
  <si>
    <t>check:</t>
  </si>
  <si>
    <t>Total Interest Annually</t>
  </si>
  <si>
    <t>Off-Site Levy Fund Balances as at December 31, 2025</t>
  </si>
  <si>
    <t>Water Supply &amp; Treatment Levy</t>
  </si>
  <si>
    <t>Water Distribution &amp; Storage Levy</t>
  </si>
  <si>
    <t>Land Description</t>
  </si>
  <si>
    <t>Development Area (ha)</t>
  </si>
  <si>
    <t>D'Arcy Phase 11 (MR)</t>
  </si>
  <si>
    <t>D'Arcy Phase 14</t>
  </si>
  <si>
    <t>D'Arcy Phase 15</t>
  </si>
  <si>
    <t>Wedderburn Phase 8</t>
  </si>
  <si>
    <t>Total Principal Annually</t>
  </si>
  <si>
    <t>Outstanding Principal</t>
  </si>
  <si>
    <t>Debenture Principal Advanced Remaining</t>
  </si>
  <si>
    <t>[6 x 7]</t>
  </si>
  <si>
    <t>[2+3-4-5+8]</t>
  </si>
  <si>
    <t>[9+10+11]</t>
  </si>
  <si>
    <t>Existing Debenture Payments (Growth Portion Only)</t>
  </si>
  <si>
    <t>Existing Debenture  Payments (Growth Portion Only)</t>
  </si>
  <si>
    <t>Reserve Fund Interest Accural</t>
  </si>
  <si>
    <t>Infrastructure Capacity Reached</t>
  </si>
  <si>
    <t>2026 Assumed Agreements Executed</t>
  </si>
  <si>
    <t>Mid 2026
Totals (ha)</t>
  </si>
  <si>
    <t>Annual</t>
  </si>
  <si>
    <t>Burnswest Phase 2</t>
  </si>
  <si>
    <t>Ridgemont Phase 1</t>
  </si>
  <si>
    <t>Tillotson Phase 2</t>
  </si>
  <si>
    <t>D'Arcy Phase 12</t>
  </si>
  <si>
    <t>D'Arcy Phase 18</t>
  </si>
  <si>
    <t>D'Arcy Phase 19</t>
  </si>
  <si>
    <t>Wedderburn Phase 11</t>
  </si>
  <si>
    <t>2025 Agreement Carry-over</t>
  </si>
  <si>
    <t>2026 Agreement Collections (50%)</t>
  </si>
  <si>
    <t>&lt;- 2026 agreements executed are only collected at 50% in year 1</t>
  </si>
  <si>
    <t>2026 Collections</t>
  </si>
  <si>
    <t>2027 Collections</t>
  </si>
  <si>
    <t>HOW TO USE THIS DOCUMENT</t>
  </si>
  <si>
    <t xml:space="preserve">Description </t>
  </si>
  <si>
    <t>Tab Title</t>
  </si>
  <si>
    <t>Oversize Costs</t>
  </si>
  <si>
    <t>2025 OSL Account Detail</t>
  </si>
  <si>
    <t>Total to Date</t>
  </si>
  <si>
    <t>2026 Collections Summary</t>
  </si>
  <si>
    <t xml:space="preserve">2025 Off-Site Levy Fund Balances, Payments, agreements executed, and project expenditures, used to calculate levy fund opening balance at start of 2026 for each infrastructure category. </t>
  </si>
  <si>
    <t>Debentures for OSL Model</t>
  </si>
  <si>
    <t xml:space="preserve">Cost Recovery Timing </t>
  </si>
  <si>
    <t>Project List</t>
  </si>
  <si>
    <t>Model Tabs</t>
  </si>
  <si>
    <t xml:space="preserve">Includes all project information including descriptions, timing, allocation of benefit, and costs. </t>
  </si>
  <si>
    <t>Outstading Balance</t>
  </si>
  <si>
    <t>Cost Recovery Timing</t>
  </si>
  <si>
    <t>Assumptions</t>
  </si>
  <si>
    <t>2026 City of Calgary Development Agreement Rates for Sanitary Collection and Transportation utilitzed to calculate improvements beyond local development costs to be recovered through the OSL.</t>
  </si>
  <si>
    <t>Rational</t>
  </si>
  <si>
    <t xml:space="preserve">Project Cost Inflation - Applied to Future Project Costs - </t>
  </si>
  <si>
    <t>Project Cost Inflation - to bring Project Costs to $2026 (save for Recreation Projects) -</t>
  </si>
  <si>
    <t xml:space="preserve">Project Cost Inflation - to bring Project Costs to $2026 (for Recreation Projects) - </t>
  </si>
  <si>
    <t>Basline population (2025) taken from Alberta Dashboard</t>
  </si>
  <si>
    <t xml:space="preserve">Population growth table for Okotoks based on Growth Projections from Okotoks Growth Strategy (2025). Cost Recovery approach and contributing hectares varies for each infrastructure category. </t>
  </si>
  <si>
    <t xml:space="preserve">2026 Off-Site Levy fund payments collected to date, agreements executed to date, and upcoming agreements to be executed in 2026. Captured to reflect most current understanding of anticipated collections in 2026 (and second payments in 2027). </t>
  </si>
  <si>
    <t>Assumed Remaining 2026 Growth (June 1, 2026 to December 31, 2026):</t>
  </si>
  <si>
    <t>Others</t>
  </si>
  <si>
    <t>Front-Ended by Others and Oversize Recovery Eligible</t>
  </si>
  <si>
    <t>Assumed Total Contributing Hectares</t>
  </si>
  <si>
    <t>Population and Emploiyment Growth Projections - Based on Okotoks Growth Strategy (2024)</t>
  </si>
  <si>
    <t>Based on 5-year Average (2021-2025) - Alberta Capital Finance (25-year debenture)</t>
  </si>
  <si>
    <t>25 Year Debenture</t>
  </si>
  <si>
    <t>Allocation of Debenture Payment to Growth</t>
  </si>
  <si>
    <t>Assumed Grant Value (Okotoks Share)</t>
  </si>
  <si>
    <t>Assumed Annual Growth - Mid 2026 Onwards
(ha)</t>
  </si>
  <si>
    <t>Expenses in 2021 ($2021)</t>
  </si>
  <si>
    <t xml:space="preserve">Interest Earned </t>
  </si>
  <si>
    <t>Inflation Rates (%) - Project Costs</t>
  </si>
  <si>
    <t>2026 Payments Collected (1st Payment of 2026 Agreements Executed and 2nd Payment of 2025 Agreements Executed)</t>
  </si>
  <si>
    <t xml:space="preserve">2026 Payments Collected (2025 Agreements - 2nd Payments) </t>
  </si>
  <si>
    <t>Based on average interest earned on positive fund balances from Town of Okotoks (2021-2025)</t>
  </si>
  <si>
    <t>Interest Earned Rate:</t>
  </si>
  <si>
    <t>Allocation of Benefit Rationale</t>
  </si>
  <si>
    <t>The Feedermain provides water to new growth areas and is solely for growth as defined by the ISL report, the Water Master Plan (WMP) and various ASP/NASP servicing studies (North Point ASP, Thunder Stone Junction NASP, Ridgemont NASP, East Wedderburn NASP).</t>
  </si>
  <si>
    <t>W13 and W14 are identified in the WMP and are required to create new pressure zones. This is also contemplated in the South Reservoir studies and will be further addressed in the next WMP update and background work for the South Reservoir in the future.</t>
  </si>
  <si>
    <t>Existing system storage requirements are adequately addressed by the current reservoir infrastructure at the Water Treatment Plant. The Phase 1 reservoir includes only growth driven storage required to service proposed development.</t>
  </si>
  <si>
    <t>This first phase of the pump station supports both future growth in the Short Term scenario, and the existing system. The relative share for growth areas was determined through residential unit counts, and residential unit equivalents for ICI areas, benefitting from the pump station (1800 units for growth area out of a total 3200 units, 56%)</t>
  </si>
  <si>
    <t>The proposed supply lines are considered to be fully driven by growth, however the supply lines are being oversized to accommodate the existing system. As such, the existing areas should be responsible for the oversize portion on supply lines. In the no oversize scenario the supply lines are sized as 300mm (at $1.82M capital cost). The lines have been upsized to 450mm to accomodate the existing system (at $2.56M). The additional $0.74M for upsizing is allocated to existing areas (28.9%).</t>
  </si>
  <si>
    <t>The required water supply projects identified are solely required to support new development and, thus allocation of benefit is 100% to new development.
Total Okotoks benefitting population = 24,500 people</t>
  </si>
  <si>
    <t>The required water supply projects identified are solely required to support new development and, thus allocation of benefit is 100% to new development.
Total Okotoks benefitting population = 12,500 people</t>
  </si>
  <si>
    <t>8C</t>
  </si>
  <si>
    <t>Assumed Agreements for Remainder of 2026</t>
  </si>
  <si>
    <t>&lt;- Based on received subdivision applications</t>
  </si>
  <si>
    <t xml:space="preserve">The models function by using a goal seek to determine levy rate (cell I22) based on setting the Off-site Levy Fee Reserve Fund Closing Balance (column N) to be zero in the balance year.
Steps:
1. Data tab &gt; What-If Analysis &gt; Goal Seek
2. Set cell: balance year in Column N
    To value: 0
    By changing cell: I22
3. Click OK and accept new results
</t>
  </si>
  <si>
    <t>Low</t>
  </si>
  <si>
    <t>High</t>
  </si>
  <si>
    <t xml:space="preserve">Water Storage </t>
  </si>
  <si>
    <t>This workbook contains the financial models used to determine the Off-site Levy (OSL) rates as a part of the 2026 Off-site Levy Bylaw update. This financial model uses the latest information and assumptions available at the time of the update.
The following tables describe the tabs contained within this workbook:</t>
  </si>
  <si>
    <t>This tab provides the assumptions that feed into the OSL infrastruture category models including interest &amp; inflation rates, project contingencies, and 2025 OSL Reserve Fund Balances.</t>
  </si>
  <si>
    <t xml:space="preserve">Loan schedules from debt advanced by the Town to finance infrastructure, including annual interest and principle payments. </t>
  </si>
  <si>
    <t>Note, interest rates are negotiated with lender on 5 Year Terms. For the financial modelling, the current negotiated rate has been applied over the amortization period (25yrs), as shown in the Debenture Payment (P+I) Schedule.</t>
  </si>
  <si>
    <t>Alberta Capital Finance - Utilized to Estimate P+I Over Amortization Period</t>
  </si>
  <si>
    <t>Regional Allocation</t>
  </si>
  <si>
    <t>Growth Share of Remaining Project Costs</t>
  </si>
  <si>
    <t>Water Supply - Capacity Based</t>
  </si>
  <si>
    <t>Debenture Principal Advanced</t>
  </si>
  <si>
    <t>South Okotoks Reservoir Phase 1 (3,660 m3)</t>
  </si>
  <si>
    <t>Upon Execution</t>
  </si>
  <si>
    <t>Within 1 Year</t>
  </si>
  <si>
    <t>Within 2 Years</t>
  </si>
  <si>
    <t xml:space="preserve">Levy calculated based on "Goal Seek" Function. "Goal Seek" to zero in 2053 to account for 3rd Payment from 2051 growth. </t>
  </si>
  <si>
    <t xml:space="preserve">Levy calculated based on "Goal Seek" Function. "Goal Seek" to zero in 2051 to account for 3rd Payment from 2049 growth. </t>
  </si>
  <si>
    <t>OSL Levy Summary</t>
  </si>
  <si>
    <t>Proposed Levy ($2026)</t>
  </si>
  <si>
    <t>Carrying costs are not assumed for infrastructure front-ended by developer</t>
  </si>
  <si>
    <t>Interest Paid on Debt or Deficit (-) - TOWN FRONT ENDED</t>
  </si>
  <si>
    <t>Interest Paid on Debt or Deficit (-) - DEVELOPER FRONT ENDED</t>
  </si>
  <si>
    <t>Interest Earned - Positive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</si>
</sst>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quot;$&quot;* #,##0_-;\-&quot;$&quot;* #,##0_-;_-&quot;$&quot;* &quot;-&quot;_-;_-@_-"/>
    <numFmt numFmtId="165" formatCode="_-&quot;$&quot;* #,##0.00_-;\-&quot;$&quot;* #,##0.00_-;_-&quot;$&quot;* &quot;-&quot;??_-;_-@_-"/>
    <numFmt numFmtId="166" formatCode="_-* #,##0.00_-;\-* #,##0.00_-;_-* &quot;-&quot;??_-;_-@_-"/>
    <numFmt numFmtId="167" formatCode="_-&quot;$&quot;* #,##0_-;\-&quot;$&quot;* #,##0_-;_-&quot;$&quot;* &quot;-&quot;??_-;_-@_-"/>
    <numFmt numFmtId="168" formatCode="0.0%"/>
    <numFmt numFmtId="169" formatCode="_(* #,##0_);_(* \(#,##0\);_(* &quot;-&quot;??_);_(@_)"/>
    <numFmt numFmtId="170" formatCode="&quot;$&quot;#,##0"/>
    <numFmt numFmtId="171" formatCode="_(&quot;$&quot;* #,##0_);_(&quot;$&quot;* \(#,##0\);_(&quot;$&quot;* &quot;-&quot;??_);_(@_)"/>
    <numFmt numFmtId="172" formatCode="&quot;$&quot;#,##0.00"/>
    <numFmt numFmtId="173" formatCode="&quot;$&quot;#,##0.00;[Red]&quot;$&quot;#,##0.00"/>
    <numFmt numFmtId="174" formatCode="0.000"/>
  </numFmts>
  <fonts count="95">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Calibri"/>
      <family val="2"/>
    </font>
    <font>
      <sz val="11"/>
      <color theme="1"/>
      <name val="Calibri"/>
      <family val="2"/>
      <scheme val="minor"/>
    </font>
    <font>
      <b/>
      <sz val="12"/>
      <name val="Arial"/>
      <family val="2"/>
    </font>
    <font>
      <sz val="10"/>
      <name val="Arial"/>
      <family val="2"/>
    </font>
    <font>
      <b/>
      <sz val="10"/>
      <name val="Arial"/>
      <family val="2"/>
    </font>
    <font>
      <b/>
      <sz val="1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1"/>
      <color theme="1"/>
      <name val="Calibri"/>
      <family val="2"/>
    </font>
    <font>
      <b/>
      <sz val="11"/>
      <color theme="1"/>
      <name val="Calibri"/>
      <family val="2"/>
      <scheme val="minor"/>
    </font>
    <font>
      <sz val="11"/>
      <name val="Calibri"/>
      <family val="2"/>
      <scheme val="minor"/>
    </font>
    <font>
      <b/>
      <sz val="11"/>
      <color theme="1"/>
      <name val="Calibri"/>
      <family val="2"/>
    </font>
    <font>
      <b/>
      <sz val="11"/>
      <name val="Calibri"/>
      <family val="2"/>
    </font>
    <font>
      <b/>
      <sz val="11"/>
      <color rgb="FF0000FF"/>
      <name val="Calibri"/>
      <family val="2"/>
    </font>
    <font>
      <sz val="10"/>
      <name val="Arial"/>
      <family val="2"/>
    </font>
    <font>
      <sz val="8"/>
      <name val="Arial"/>
      <family val="2"/>
    </font>
    <font>
      <sz val="10"/>
      <name val="Arial"/>
      <family val="2"/>
    </font>
    <font>
      <sz val="8"/>
      <name val="Arial Cyr"/>
      <charset val="204"/>
    </font>
    <font>
      <u/>
      <sz val="11"/>
      <color theme="10"/>
      <name val="Calibri"/>
      <family val="2"/>
    </font>
    <font>
      <sz val="20"/>
      <color theme="1"/>
      <name val="Calibri"/>
      <family val="2"/>
      <scheme val="minor"/>
    </font>
    <font>
      <sz val="10"/>
      <name val="Calibri"/>
      <family val="1"/>
      <scheme val="minor"/>
    </font>
    <font>
      <sz val="10"/>
      <name val="Arial"/>
      <family val="2"/>
    </font>
    <font>
      <sz val="11"/>
      <color theme="1"/>
      <name val="Agency FB"/>
      <family val="2"/>
    </font>
    <font>
      <sz val="11"/>
      <color rgb="FF3F3F76"/>
      <name val="Agency FB"/>
      <family val="2"/>
    </font>
    <font>
      <b/>
      <sz val="11"/>
      <color rgb="FFFA7D00"/>
      <name val="Agency FB"/>
      <family val="2"/>
    </font>
    <font>
      <sz val="12"/>
      <color theme="1"/>
      <name val="Calibri"/>
      <family val="2"/>
      <scheme val="minor"/>
    </font>
    <font>
      <b/>
      <sz val="8"/>
      <color theme="1"/>
      <name val="Montserrat Medium"/>
    </font>
    <font>
      <sz val="8"/>
      <color theme="1"/>
      <name val="Montserrat Medium"/>
    </font>
    <font>
      <u/>
      <sz val="10"/>
      <color theme="10"/>
      <name val="Arial"/>
      <family val="2"/>
    </font>
    <font>
      <b/>
      <sz val="16"/>
      <color theme="1"/>
      <name val="Montserrat Medium"/>
    </font>
    <font>
      <sz val="8"/>
      <name val="Montserrat Medium"/>
    </font>
    <font>
      <u/>
      <sz val="11"/>
      <color theme="4"/>
      <name val="Calibri"/>
      <family val="2"/>
    </font>
    <font>
      <b/>
      <u/>
      <sz val="11"/>
      <color theme="4"/>
      <name val="Calibri"/>
      <family val="2"/>
    </font>
    <font>
      <sz val="11"/>
      <color rgb="FF0066FF"/>
      <name val="Calibri"/>
      <family val="2"/>
    </font>
    <font>
      <sz val="11"/>
      <name val="Calibri"/>
      <family val="2"/>
    </font>
    <font>
      <sz val="11"/>
      <name val="Calibri"/>
      <family val="2"/>
      <scheme val="minor"/>
    </font>
    <font>
      <sz val="11"/>
      <name val="Calibri"/>
      <family val="2"/>
    </font>
    <font>
      <sz val="11"/>
      <name val="Calibri"/>
      <family val="2"/>
      <scheme val="minor"/>
    </font>
    <font>
      <sz val="10"/>
      <color theme="1"/>
      <name val="Calibri  "/>
    </font>
    <font>
      <b/>
      <sz val="20"/>
      <color theme="1"/>
      <name val="Calibri"/>
      <family val="2"/>
      <scheme val="minor"/>
    </font>
    <font>
      <b/>
      <u val="singleAccounting"/>
      <sz val="11"/>
      <color rgb="FFFF0000"/>
      <name val="Calibri"/>
      <family val="2"/>
    </font>
    <font>
      <sz val="11"/>
      <color theme="1"/>
      <name val="Montserrat Medium"/>
    </font>
    <font>
      <sz val="10"/>
      <name val="Montserrat Medium"/>
    </font>
    <font>
      <b/>
      <sz val="11"/>
      <color theme="1"/>
      <name val="Montserrat Medium"/>
    </font>
    <font>
      <b/>
      <sz val="10"/>
      <name val="Montserrat Medium"/>
    </font>
    <font>
      <sz val="20"/>
      <color theme="1"/>
      <name val="Montserrat Medium"/>
    </font>
    <font>
      <sz val="12"/>
      <name val="Montserrat Medium"/>
    </font>
    <font>
      <b/>
      <sz val="12"/>
      <name val="Montserrat Medium"/>
    </font>
    <font>
      <b/>
      <sz val="11"/>
      <color rgb="FFFF0000"/>
      <name val="Montserrat Medium"/>
    </font>
    <font>
      <sz val="11"/>
      <name val="Montserrat Medium"/>
    </font>
    <font>
      <sz val="11"/>
      <color rgb="FFFF0000"/>
      <name val="Montserrat Medium"/>
    </font>
    <font>
      <b/>
      <sz val="11"/>
      <name val="Montserrat Medium"/>
    </font>
    <font>
      <b/>
      <i/>
      <sz val="11"/>
      <name val="Montserrat Medium"/>
    </font>
    <font>
      <sz val="9"/>
      <color theme="1"/>
      <name val="Montserrat Medium"/>
    </font>
    <font>
      <b/>
      <u/>
      <sz val="11"/>
      <color rgb="FF000000"/>
      <name val="Montserrat Medium"/>
    </font>
    <font>
      <b/>
      <sz val="11"/>
      <color rgb="FF000000"/>
      <name val="Montserrat Medium"/>
    </font>
    <font>
      <sz val="10"/>
      <color theme="1"/>
      <name val="Montserrat Medium"/>
    </font>
    <font>
      <b/>
      <sz val="12"/>
      <color theme="1"/>
      <name val="Montserrat Medium"/>
    </font>
    <font>
      <b/>
      <sz val="10"/>
      <color theme="1"/>
      <name val="Montserrat Medium"/>
    </font>
    <font>
      <b/>
      <sz val="14"/>
      <color theme="1"/>
      <name val="Montserrat Medium"/>
    </font>
    <font>
      <b/>
      <sz val="9"/>
      <color theme="1"/>
      <name val="Montserrat Medium"/>
    </font>
    <font>
      <sz val="16"/>
      <color theme="1"/>
      <name val="Calibri"/>
      <family val="2"/>
      <scheme val="minor"/>
    </font>
    <font>
      <sz val="11"/>
      <color rgb="FF000000"/>
      <name val="Montserrat Medium"/>
    </font>
    <font>
      <sz val="11"/>
      <color theme="1"/>
      <name val="Calibri "/>
    </font>
    <font>
      <sz val="11"/>
      <name val="Calibri "/>
    </font>
    <font>
      <sz val="11"/>
      <color theme="1"/>
      <name val="Segoe UI"/>
      <family val="2"/>
    </font>
    <font>
      <b/>
      <sz val="11"/>
      <color theme="1"/>
      <name val="Montserrat"/>
    </font>
    <font>
      <sz val="11"/>
      <color theme="1"/>
      <name val="Montserrat"/>
    </font>
    <font>
      <sz val="11"/>
      <name val="Montserrat"/>
    </font>
    <font>
      <b/>
      <sz val="11"/>
      <name val="Montserrat"/>
    </font>
    <font>
      <b/>
      <u/>
      <sz val="11"/>
      <color rgb="FF000000"/>
      <name val="Montserrat"/>
    </font>
    <font>
      <b/>
      <sz val="11"/>
      <color rgb="FF000000"/>
      <name val="Montserrat"/>
    </font>
  </fonts>
  <fills count="5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indexed="9"/>
        <bgColor indexed="9"/>
      </patternFill>
    </fill>
    <fill>
      <patternFill patternType="solid">
        <fgColor theme="0" tint="-0.34998626667073579"/>
        <bgColor indexed="64"/>
      </patternFill>
    </fill>
    <fill>
      <patternFill patternType="solid">
        <fgColor theme="0" tint="-0.14999847407452621"/>
        <bgColor indexed="64"/>
      </patternFill>
    </fill>
    <fill>
      <patternFill patternType="solid">
        <fgColor rgb="FF00B0F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FFCC99"/>
      </patternFill>
    </fill>
    <fill>
      <patternFill patternType="solid">
        <fgColor rgb="FFF2F2F2"/>
      </patternFill>
    </fill>
    <fill>
      <patternFill patternType="solid">
        <fgColor theme="6" tint="0.79998168889431442"/>
        <bgColor theme="6" tint="0.79998168889431442"/>
      </patternFill>
    </fill>
    <fill>
      <patternFill patternType="solid">
        <fgColor theme="5" tint="0.59999389629810485"/>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FFFF"/>
        <bgColor indexed="64"/>
      </patternFill>
    </fill>
    <fill>
      <patternFill patternType="solid">
        <fgColor theme="4" tint="0.59999389629810485"/>
        <bgColor rgb="FF000000"/>
      </patternFill>
    </fill>
    <fill>
      <patternFill patternType="solid">
        <fgColor rgb="FFBDD7EE"/>
        <bgColor rgb="FF000000"/>
      </patternFill>
    </fill>
    <fill>
      <patternFill patternType="solid">
        <fgColor rgb="FFDDEBF7"/>
        <bgColor rgb="FF000000"/>
      </patternFill>
    </fill>
    <fill>
      <patternFill patternType="solid">
        <fgColor rgb="FFDDEBF7"/>
        <bgColor rgb="FFDDEBF7"/>
      </patternFill>
    </fill>
    <fill>
      <patternFill patternType="solid">
        <fgColor theme="4" tint="0.79998168889431442"/>
        <bgColor rgb="FF000000"/>
      </patternFill>
    </fill>
    <fill>
      <patternFill patternType="solid">
        <fgColor theme="6" tint="0.79998168889431442"/>
        <bgColor indexed="64"/>
      </patternFill>
    </fill>
    <fill>
      <patternFill patternType="solid">
        <fgColor indexed="22"/>
        <bgColor indexed="64"/>
      </patternFill>
    </fill>
  </fills>
  <borders count="9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double">
        <color auto="1"/>
      </top>
      <bottom style="medium">
        <color auto="1"/>
      </bottom>
      <diagonal/>
    </border>
    <border>
      <left style="thin">
        <color auto="1"/>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double">
        <color indexed="64"/>
      </bottom>
      <diagonal/>
    </border>
    <border>
      <left/>
      <right/>
      <top style="double">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style="double">
        <color indexed="64"/>
      </bottom>
      <diagonal/>
    </border>
    <border>
      <left style="medium">
        <color indexed="64"/>
      </left>
      <right/>
      <top style="double">
        <color auto="1"/>
      </top>
      <bottom style="medium">
        <color indexed="64"/>
      </bottom>
      <diagonal/>
    </border>
    <border>
      <left/>
      <right style="medium">
        <color indexed="64"/>
      </right>
      <top style="double">
        <color auto="1"/>
      </top>
      <bottom style="medium">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double">
        <color auto="1"/>
      </top>
      <bottom style="medium">
        <color indexed="64"/>
      </bottom>
      <diagonal/>
    </border>
  </borders>
  <cellStyleXfs count="240">
    <xf numFmtId="0" fontId="0" fillId="0" borderId="0"/>
    <xf numFmtId="165" fontId="9" fillId="0" borderId="0" applyFont="0" applyFill="0" applyBorder="0" applyAlignment="0" applyProtection="0"/>
    <xf numFmtId="0" fontId="11"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9" applyNumberFormat="0" applyAlignment="0" applyProtection="0"/>
    <xf numFmtId="0" fontId="18" fillId="21" borderId="10" applyNumberFormat="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11" applyNumberFormat="0" applyFill="0" applyAlignment="0" applyProtection="0"/>
    <xf numFmtId="0" fontId="22" fillId="0" borderId="12" applyNumberFormat="0" applyFill="0" applyAlignment="0" applyProtection="0"/>
    <xf numFmtId="0" fontId="23" fillId="0" borderId="13" applyNumberFormat="0" applyFill="0" applyAlignment="0" applyProtection="0"/>
    <xf numFmtId="0" fontId="23" fillId="0" borderId="0" applyNumberFormat="0" applyFill="0" applyBorder="0" applyAlignment="0" applyProtection="0"/>
    <xf numFmtId="0" fontId="24" fillId="7" borderId="9" applyNumberFormat="0" applyAlignment="0" applyProtection="0"/>
    <xf numFmtId="0" fontId="25" fillId="0" borderId="14" applyNumberFormat="0" applyFill="0" applyAlignment="0" applyProtection="0"/>
    <xf numFmtId="0" fontId="26" fillId="22" borderId="0" applyNumberFormat="0" applyBorder="0" applyAlignment="0" applyProtection="0"/>
    <xf numFmtId="0" fontId="11" fillId="0" borderId="0"/>
    <xf numFmtId="0" fontId="11" fillId="23" borderId="15" applyNumberFormat="0" applyFont="0" applyAlignment="0" applyProtection="0"/>
    <xf numFmtId="0" fontId="27" fillId="20" borderId="16"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28" fillId="0" borderId="0" applyNumberFormat="0" applyFill="0" applyBorder="0" applyAlignment="0" applyProtection="0"/>
    <xf numFmtId="0" fontId="29" fillId="0" borderId="17" applyNumberFormat="0" applyFill="0" applyAlignment="0" applyProtection="0"/>
    <xf numFmtId="0" fontId="30" fillId="0" borderId="0" applyNumberForma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37" fillId="0" borderId="0"/>
    <xf numFmtId="9" fontId="37" fillId="0" borderId="0" applyFont="0" applyFill="0" applyBorder="0" applyAlignment="0" applyProtection="0"/>
    <xf numFmtId="10" fontId="38" fillId="28" borderId="0" applyFont="0" applyFill="0" applyBorder="0" applyAlignment="0" applyProtection="0"/>
    <xf numFmtId="166" fontId="37" fillId="0" borderId="0" applyFont="0" applyFill="0" applyBorder="0" applyAlignment="0" applyProtection="0"/>
    <xf numFmtId="165" fontId="37" fillId="0" borderId="0" applyFont="0" applyFill="0" applyBorder="0" applyAlignment="0" applyProtection="0"/>
    <xf numFmtId="0" fontId="39" fillId="0" borderId="0"/>
    <xf numFmtId="166" fontId="39" fillId="0" borderId="0" applyFont="0" applyFill="0" applyBorder="0" applyAlignment="0" applyProtection="0"/>
    <xf numFmtId="165" fontId="39" fillId="0" borderId="0" applyFont="0" applyFill="0" applyBorder="0" applyAlignment="0" applyProtection="0"/>
    <xf numFmtId="9" fontId="3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39" fillId="0" borderId="0" applyFont="0" applyFill="0" applyBorder="0" applyAlignment="0" applyProtection="0"/>
    <xf numFmtId="165" fontId="39" fillId="0" borderId="0" applyFont="0" applyFill="0" applyBorder="0" applyAlignment="0" applyProtection="0"/>
    <xf numFmtId="9" fontId="9" fillId="0" borderId="0" applyFont="0" applyFill="0" applyBorder="0" applyAlignment="0" applyProtection="0"/>
    <xf numFmtId="0" fontId="40" fillId="0" borderId="0"/>
    <xf numFmtId="9" fontId="40"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0" fontId="41" fillId="0" borderId="0" applyNumberFormat="0" applyFill="0" applyBorder="0" applyAlignment="0" applyProtection="0">
      <alignment vertical="top"/>
      <protection locked="0"/>
    </xf>
    <xf numFmtId="0" fontId="9" fillId="0" borderId="0"/>
    <xf numFmtId="166" fontId="9" fillId="0" borderId="0" applyFont="0" applyFill="0" applyBorder="0" applyAlignment="0" applyProtection="0"/>
    <xf numFmtId="9" fontId="9" fillId="0" borderId="0" applyFont="0" applyFill="0" applyBorder="0" applyAlignment="0" applyProtection="0"/>
    <xf numFmtId="165" fontId="9" fillId="0" borderId="0" applyFont="0" applyFill="0" applyBorder="0" applyAlignment="0" applyProtection="0"/>
    <xf numFmtId="0" fontId="11" fillId="0" borderId="0"/>
    <xf numFmtId="166" fontId="9" fillId="0" borderId="0" applyFont="0" applyFill="0" applyBorder="0" applyAlignment="0" applyProtection="0"/>
    <xf numFmtId="165" fontId="9" fillId="0" borderId="0" applyFont="0" applyFill="0" applyBorder="0" applyAlignment="0" applyProtection="0"/>
    <xf numFmtId="0" fontId="11" fillId="0" borderId="0"/>
    <xf numFmtId="166" fontId="11" fillId="0" borderId="0" applyFont="0" applyFill="0" applyBorder="0" applyAlignment="0" applyProtection="0"/>
    <xf numFmtId="0" fontId="9" fillId="0" borderId="0"/>
    <xf numFmtId="165" fontId="9" fillId="0" borderId="0" applyFont="0" applyFill="0" applyBorder="0" applyAlignment="0" applyProtection="0"/>
    <xf numFmtId="0" fontId="18" fillId="21" borderId="39" applyNumberFormat="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0" fontId="11" fillId="0" borderId="0"/>
    <xf numFmtId="166" fontId="11" fillId="0" borderId="0" applyFont="0" applyFill="0" applyBorder="0" applyAlignment="0" applyProtection="0"/>
    <xf numFmtId="165" fontId="11" fillId="0" borderId="0" applyFont="0" applyFill="0" applyBorder="0" applyAlignment="0" applyProtection="0"/>
    <xf numFmtId="9"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0" fontId="7" fillId="0" borderId="0"/>
    <xf numFmtId="0" fontId="6" fillId="0" borderId="0"/>
    <xf numFmtId="0" fontId="6" fillId="0" borderId="0"/>
    <xf numFmtId="0" fontId="5" fillId="0" borderId="0"/>
    <xf numFmtId="0" fontId="4" fillId="0" borderId="0"/>
    <xf numFmtId="0" fontId="43" fillId="0" borderId="0"/>
    <xf numFmtId="44" fontId="44" fillId="0" borderId="0" applyFont="0" applyFill="0" applyBorder="0" applyAlignment="0" applyProtection="0"/>
    <xf numFmtId="0" fontId="45" fillId="37" borderId="0" applyNumberFormat="0" applyBorder="0" applyAlignment="0" applyProtection="0"/>
    <xf numFmtId="0" fontId="46" fillId="35" borderId="58" applyNumberFormat="0" applyAlignment="0" applyProtection="0"/>
    <xf numFmtId="0" fontId="47" fillId="36" borderId="58" applyNumberFormat="0" applyAlignment="0" applyProtection="0"/>
    <xf numFmtId="0" fontId="44" fillId="0" borderId="0"/>
    <xf numFmtId="43"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165" fontId="44" fillId="0" borderId="0" applyFont="0" applyFill="0" applyBorder="0" applyAlignment="0" applyProtection="0"/>
    <xf numFmtId="166" fontId="11" fillId="0" borderId="0" applyFont="0" applyFill="0" applyBorder="0" applyAlignment="0" applyProtection="0"/>
    <xf numFmtId="44" fontId="9" fillId="0" borderId="0" applyFont="0" applyFill="0" applyBorder="0" applyAlignment="0" applyProtection="0"/>
    <xf numFmtId="165" fontId="9"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51" fillId="0" borderId="0" applyNumberFormat="0" applyFill="0" applyBorder="0" applyAlignment="0" applyProtection="0"/>
    <xf numFmtId="0" fontId="11" fillId="0" borderId="0"/>
    <xf numFmtId="9" fontId="11" fillId="0" borderId="0" applyFont="0" applyFill="0" applyBorder="0" applyAlignment="0" applyProtection="0"/>
    <xf numFmtId="43" fontId="9"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48" fillId="0" borderId="0"/>
    <xf numFmtId="43" fontId="48" fillId="0" borderId="0" applyFont="0" applyFill="0" applyBorder="0" applyAlignment="0" applyProtection="0"/>
    <xf numFmtId="0" fontId="11" fillId="0" borderId="0"/>
    <xf numFmtId="0" fontId="38" fillId="50" borderId="0">
      <alignment horizontal="left" indent="6"/>
    </xf>
    <xf numFmtId="166" fontId="11" fillId="0" borderId="0" applyFont="0" applyFill="0" applyBorder="0" applyAlignment="0" applyProtection="0"/>
    <xf numFmtId="9" fontId="11" fillId="0" borderId="0" applyFont="0" applyFill="0" applyBorder="0" applyAlignment="0" applyProtection="0"/>
    <xf numFmtId="0" fontId="11" fillId="0" borderId="0"/>
    <xf numFmtId="166" fontId="9" fillId="0" borderId="0" applyFont="0" applyFill="0" applyBorder="0" applyAlignment="0" applyProtection="0"/>
  </cellStyleXfs>
  <cellXfs count="775">
    <xf numFmtId="0" fontId="0" fillId="0" borderId="0" xfId="0"/>
    <xf numFmtId="0" fontId="0" fillId="0" borderId="0" xfId="0" applyAlignment="1">
      <alignment horizontal="right"/>
    </xf>
    <xf numFmtId="0" fontId="10" fillId="0" borderId="0" xfId="0" applyFont="1"/>
    <xf numFmtId="0" fontId="0" fillId="0" borderId="0" xfId="0" applyAlignment="1">
      <alignment horizontal="center"/>
    </xf>
    <xf numFmtId="165" fontId="0" fillId="0" borderId="0" xfId="0" applyNumberFormat="1"/>
    <xf numFmtId="0" fontId="13" fillId="25" borderId="7" xfId="0" quotePrefix="1" applyFont="1" applyFill="1" applyBorder="1" applyAlignment="1">
      <alignment horizontal="center" vertical="center"/>
    </xf>
    <xf numFmtId="0" fontId="31" fillId="25" borderId="19" xfId="0" applyFont="1" applyFill="1" applyBorder="1"/>
    <xf numFmtId="167" fontId="34" fillId="25" borderId="19" xfId="1" applyNumberFormat="1" applyFont="1" applyFill="1" applyBorder="1"/>
    <xf numFmtId="0" fontId="12" fillId="25" borderId="26" xfId="0" applyFont="1" applyFill="1" applyBorder="1" applyAlignment="1" applyProtection="1">
      <alignment horizontal="center" vertical="center" wrapText="1"/>
      <protection locked="0"/>
    </xf>
    <xf numFmtId="0" fontId="12" fillId="25" borderId="27" xfId="0" applyFont="1" applyFill="1" applyBorder="1" applyAlignment="1" applyProtection="1">
      <alignment horizontal="center" vertical="center" wrapText="1"/>
      <protection locked="0"/>
    </xf>
    <xf numFmtId="165" fontId="0" fillId="0" borderId="0" xfId="0" applyNumberFormat="1" applyAlignment="1">
      <alignment horizontal="right"/>
    </xf>
    <xf numFmtId="0" fontId="12" fillId="25" borderId="27" xfId="0" applyFont="1" applyFill="1" applyBorder="1" applyAlignment="1" applyProtection="1">
      <alignment horizontal="right" vertical="center" wrapText="1"/>
      <protection locked="0"/>
    </xf>
    <xf numFmtId="167" fontId="34" fillId="25" borderId="19" xfId="1" applyNumberFormat="1" applyFont="1" applyFill="1" applyBorder="1" applyAlignment="1">
      <alignment horizontal="right"/>
    </xf>
    <xf numFmtId="0" fontId="32" fillId="0" borderId="0" xfId="0" applyFont="1"/>
    <xf numFmtId="0" fontId="10" fillId="0" borderId="0" xfId="0" applyFont="1" applyAlignment="1">
      <alignment horizontal="center"/>
    </xf>
    <xf numFmtId="0" fontId="35" fillId="26" borderId="3" xfId="0" applyFont="1" applyFill="1" applyBorder="1" applyAlignment="1">
      <alignment horizontal="center"/>
    </xf>
    <xf numFmtId="0" fontId="35" fillId="26" borderId="29" xfId="0" applyFont="1" applyFill="1" applyBorder="1" applyAlignment="1">
      <alignment horizontal="center"/>
    </xf>
    <xf numFmtId="0" fontId="35" fillId="26" borderId="1" xfId="0" applyFont="1" applyFill="1" applyBorder="1" applyAlignment="1">
      <alignment horizontal="center"/>
    </xf>
    <xf numFmtId="0" fontId="35" fillId="26" borderId="2" xfId="0" applyFont="1" applyFill="1" applyBorder="1" applyAlignment="1">
      <alignment horizontal="center"/>
    </xf>
    <xf numFmtId="0" fontId="35" fillId="26" borderId="4" xfId="0" applyFont="1" applyFill="1" applyBorder="1" applyAlignment="1">
      <alignment horizontal="center"/>
    </xf>
    <xf numFmtId="0" fontId="35" fillId="26" borderId="5" xfId="0" applyFont="1" applyFill="1" applyBorder="1" applyAlignment="1">
      <alignment horizontal="center"/>
    </xf>
    <xf numFmtId="42" fontId="35" fillId="26" borderId="5" xfId="55" applyNumberFormat="1" applyFont="1" applyFill="1" applyBorder="1" applyAlignment="1">
      <alignment horizontal="center"/>
    </xf>
    <xf numFmtId="0" fontId="35" fillId="26" borderId="42" xfId="0" applyFont="1" applyFill="1" applyBorder="1" applyAlignment="1">
      <alignment horizontal="center"/>
    </xf>
    <xf numFmtId="0" fontId="35" fillId="26" borderId="43" xfId="0" applyFont="1" applyFill="1" applyBorder="1" applyAlignment="1">
      <alignment horizontal="center"/>
    </xf>
    <xf numFmtId="0" fontId="35" fillId="26" borderId="28" xfId="0" applyFont="1" applyFill="1" applyBorder="1" applyAlignment="1">
      <alignment horizontal="center"/>
    </xf>
    <xf numFmtId="165" fontId="0" fillId="26" borderId="6" xfId="0" applyNumberFormat="1" applyFill="1" applyBorder="1" applyAlignment="1">
      <alignment horizontal="center" vertical="center"/>
    </xf>
    <xf numFmtId="165" fontId="11" fillId="0" borderId="0" xfId="1" applyFont="1" applyFill="1" applyBorder="1" applyAlignment="1" applyProtection="1">
      <alignment vertical="center" wrapText="1"/>
    </xf>
    <xf numFmtId="165" fontId="11" fillId="0" borderId="0" xfId="1" applyFont="1" applyFill="1" applyBorder="1" applyAlignment="1" applyProtection="1">
      <alignment horizontal="center" vertical="center" wrapText="1"/>
    </xf>
    <xf numFmtId="165" fontId="12" fillId="0" borderId="0" xfId="1" applyFont="1" applyFill="1" applyBorder="1" applyAlignment="1" applyProtection="1">
      <alignment vertical="center" wrapText="1"/>
    </xf>
    <xf numFmtId="0" fontId="0" fillId="0" borderId="0" xfId="0" applyAlignment="1">
      <alignment horizontal="center" vertical="center"/>
    </xf>
    <xf numFmtId="165" fontId="0" fillId="26" borderId="36" xfId="0" applyNumberFormat="1" applyFill="1" applyBorder="1" applyAlignment="1">
      <alignment horizontal="center" vertical="center"/>
    </xf>
    <xf numFmtId="0" fontId="12" fillId="25" borderId="44" xfId="0" applyFont="1" applyFill="1" applyBorder="1" applyAlignment="1" applyProtection="1">
      <alignment horizontal="center" vertical="center" wrapText="1"/>
      <protection locked="0"/>
    </xf>
    <xf numFmtId="0" fontId="0" fillId="25" borderId="28" xfId="0" applyFill="1" applyBorder="1"/>
    <xf numFmtId="0" fontId="0" fillId="25" borderId="0" xfId="0" applyFill="1" applyAlignment="1">
      <alignment horizontal="center" vertical="center"/>
    </xf>
    <xf numFmtId="0" fontId="0" fillId="25" borderId="22" xfId="0" applyFill="1" applyBorder="1"/>
    <xf numFmtId="0" fontId="32" fillId="25" borderId="22" xfId="0" applyFont="1" applyFill="1" applyBorder="1" applyAlignment="1">
      <alignment horizontal="right"/>
    </xf>
    <xf numFmtId="0" fontId="0" fillId="25" borderId="33" xfId="0" applyFill="1" applyBorder="1"/>
    <xf numFmtId="170" fontId="0" fillId="25" borderId="0" xfId="1" applyNumberFormat="1" applyFont="1" applyFill="1" applyBorder="1" applyAlignment="1">
      <alignment vertical="center"/>
    </xf>
    <xf numFmtId="170" fontId="0" fillId="25" borderId="22" xfId="0" applyNumberFormat="1" applyFill="1" applyBorder="1" applyAlignment="1">
      <alignment vertical="center"/>
    </xf>
    <xf numFmtId="165" fontId="12" fillId="26" borderId="2" xfId="0" applyNumberFormat="1" applyFont="1" applyFill="1" applyBorder="1" applyAlignment="1">
      <alignment horizontal="center" vertical="center" wrapText="1"/>
    </xf>
    <xf numFmtId="165" fontId="12" fillId="26" borderId="5" xfId="0" applyNumberFormat="1" applyFont="1" applyFill="1" applyBorder="1" applyAlignment="1">
      <alignment horizontal="center" vertical="center" wrapText="1"/>
    </xf>
    <xf numFmtId="0" fontId="0" fillId="0" borderId="7" xfId="0" applyBorder="1"/>
    <xf numFmtId="171" fontId="0" fillId="0" borderId="0" xfId="0" applyNumberFormat="1"/>
    <xf numFmtId="0" fontId="13" fillId="25" borderId="41" xfId="0" quotePrefix="1" applyFont="1" applyFill="1" applyBorder="1" applyAlignment="1">
      <alignment horizontal="center" vertical="center"/>
    </xf>
    <xf numFmtId="0" fontId="13" fillId="25" borderId="41" xfId="0" quotePrefix="1" applyFont="1" applyFill="1" applyBorder="1" applyAlignment="1">
      <alignment horizontal="right"/>
    </xf>
    <xf numFmtId="0" fontId="0" fillId="25" borderId="41" xfId="0" applyFill="1" applyBorder="1"/>
    <xf numFmtId="0" fontId="8" fillId="26" borderId="29" xfId="0" applyFont="1" applyFill="1" applyBorder="1" applyAlignment="1">
      <alignment horizontal="center"/>
    </xf>
    <xf numFmtId="0" fontId="35" fillId="26" borderId="5" xfId="0" applyFont="1" applyFill="1" applyBorder="1" applyAlignment="1">
      <alignment horizontal="center" vertical="top" wrapText="1"/>
    </xf>
    <xf numFmtId="10" fontId="10" fillId="0" borderId="0" xfId="0" applyNumberFormat="1" applyFont="1" applyAlignment="1">
      <alignment horizontal="center"/>
    </xf>
    <xf numFmtId="0" fontId="0" fillId="0" borderId="41" xfId="0" applyBorder="1"/>
    <xf numFmtId="0" fontId="49" fillId="0" borderId="0" xfId="220" applyFont="1"/>
    <xf numFmtId="0" fontId="50" fillId="0" borderId="0" xfId="220" applyFont="1"/>
    <xf numFmtId="0" fontId="50" fillId="0" borderId="0" xfId="220" applyFont="1" applyAlignment="1">
      <alignment horizontal="center"/>
    </xf>
    <xf numFmtId="0" fontId="50" fillId="0" borderId="0" xfId="220" quotePrefix="1" applyFont="1"/>
    <xf numFmtId="0" fontId="50" fillId="0" borderId="0" xfId="220" applyFont="1" applyAlignment="1">
      <alignment horizontal="center" vertical="center"/>
    </xf>
    <xf numFmtId="0" fontId="50" fillId="0" borderId="0" xfId="220" applyFont="1" applyAlignment="1">
      <alignment horizontal="left" vertical="center"/>
    </xf>
    <xf numFmtId="165" fontId="50" fillId="0" borderId="0" xfId="1" applyFont="1"/>
    <xf numFmtId="0" fontId="50" fillId="0" borderId="65" xfId="220" applyFont="1" applyBorder="1" applyAlignment="1">
      <alignment horizontal="center" vertical="center"/>
    </xf>
    <xf numFmtId="0" fontId="50" fillId="0" borderId="65" xfId="220" applyFont="1" applyBorder="1" applyAlignment="1">
      <alignment horizontal="left" vertical="center"/>
    </xf>
    <xf numFmtId="0" fontId="49" fillId="0" borderId="0" xfId="220" applyFont="1" applyAlignment="1">
      <alignment horizontal="center" vertical="center"/>
    </xf>
    <xf numFmtId="0" fontId="49" fillId="0" borderId="0" xfId="220" applyFont="1" applyAlignment="1">
      <alignment horizontal="left" vertical="center"/>
    </xf>
    <xf numFmtId="0" fontId="49" fillId="0" borderId="0" xfId="220" applyFont="1" applyAlignment="1">
      <alignment horizontal="center" vertical="center" wrapText="1"/>
    </xf>
    <xf numFmtId="0" fontId="49" fillId="0" borderId="0" xfId="220" applyFont="1" applyAlignment="1">
      <alignment horizontal="center"/>
    </xf>
    <xf numFmtId="0" fontId="35" fillId="26" borderId="4" xfId="0" applyFont="1" applyFill="1" applyBorder="1" applyAlignment="1">
      <alignment horizontal="center" wrapText="1"/>
    </xf>
    <xf numFmtId="0" fontId="52" fillId="0" borderId="0" xfId="220" applyFont="1"/>
    <xf numFmtId="170" fontId="50" fillId="0" borderId="0" xfId="222" applyNumberFormat="1" applyFont="1" applyBorder="1" applyAlignment="1">
      <alignment horizontal="center" vertical="center"/>
    </xf>
    <xf numFmtId="165" fontId="50" fillId="0" borderId="0" xfId="220" applyNumberFormat="1" applyFont="1"/>
    <xf numFmtId="165" fontId="49" fillId="0" borderId="0" xfId="222" applyFont="1" applyBorder="1" applyAlignment="1">
      <alignment horizontal="center"/>
    </xf>
    <xf numFmtId="170" fontId="50" fillId="0" borderId="0" xfId="1" applyNumberFormat="1" applyFont="1" applyFill="1" applyAlignment="1">
      <alignment horizontal="center" vertical="center" wrapText="1"/>
    </xf>
    <xf numFmtId="0" fontId="10" fillId="34" borderId="40" xfId="0" applyFont="1" applyFill="1" applyBorder="1" applyAlignment="1">
      <alignment horizontal="center"/>
    </xf>
    <xf numFmtId="9" fontId="11" fillId="34" borderId="41" xfId="81" applyFont="1" applyFill="1" applyBorder="1" applyAlignment="1" applyProtection="1">
      <alignment horizontal="center" vertical="center" wrapText="1"/>
    </xf>
    <xf numFmtId="9" fontId="11" fillId="34" borderId="59" xfId="81" applyFont="1" applyFill="1" applyBorder="1" applyAlignment="1" applyProtection="1">
      <alignment horizontal="center" vertical="center" wrapText="1"/>
    </xf>
    <xf numFmtId="0" fontId="12" fillId="25" borderId="25" xfId="0" applyFont="1" applyFill="1" applyBorder="1" applyAlignment="1">
      <alignment vertical="center"/>
    </xf>
    <xf numFmtId="0" fontId="12" fillId="25" borderId="0" xfId="0" applyFont="1" applyFill="1" applyAlignment="1">
      <alignment vertical="center"/>
    </xf>
    <xf numFmtId="0" fontId="12" fillId="25" borderId="0" xfId="0" applyFont="1" applyFill="1" applyAlignment="1">
      <alignment horizontal="center" vertical="center"/>
    </xf>
    <xf numFmtId="10" fontId="36" fillId="26" borderId="5" xfId="225" applyNumberFormat="1" applyFont="1" applyFill="1" applyBorder="1" applyAlignment="1">
      <alignment horizontal="center"/>
    </xf>
    <xf numFmtId="168" fontId="35" fillId="26" borderId="3" xfId="225" applyNumberFormat="1" applyFont="1" applyFill="1" applyBorder="1" applyAlignment="1">
      <alignment horizontal="center"/>
    </xf>
    <xf numFmtId="0" fontId="8" fillId="26" borderId="4" xfId="0" applyFont="1" applyFill="1" applyBorder="1" applyAlignment="1">
      <alignment horizontal="center"/>
    </xf>
    <xf numFmtId="9" fontId="35" fillId="26" borderId="5" xfId="225" applyFont="1" applyFill="1" applyBorder="1" applyAlignment="1">
      <alignment horizontal="center"/>
    </xf>
    <xf numFmtId="10" fontId="55" fillId="39" borderId="3" xfId="225" applyNumberFormat="1" applyFont="1" applyFill="1" applyBorder="1" applyAlignment="1">
      <alignment horizontal="center"/>
    </xf>
    <xf numFmtId="171" fontId="56" fillId="29" borderId="18" xfId="1" applyNumberFormat="1" applyFont="1" applyFill="1" applyBorder="1"/>
    <xf numFmtId="0" fontId="57" fillId="25" borderId="18" xfId="0" applyFont="1" applyFill="1" applyBorder="1" applyAlignment="1" applyProtection="1">
      <alignment horizontal="center" vertical="center"/>
      <protection locked="0"/>
    </xf>
    <xf numFmtId="0" fontId="57" fillId="25" borderId="20" xfId="0" applyFont="1" applyFill="1" applyBorder="1" applyAlignment="1" applyProtection="1">
      <alignment horizontal="center" vertical="center"/>
      <protection locked="0"/>
    </xf>
    <xf numFmtId="167" fontId="57" fillId="0" borderId="21" xfId="1" applyNumberFormat="1" applyFont="1" applyFill="1" applyBorder="1" applyAlignment="1" applyProtection="1">
      <alignment horizontal="center" vertical="center" wrapText="1"/>
      <protection locked="0"/>
    </xf>
    <xf numFmtId="167" fontId="58" fillId="25" borderId="21" xfId="0" applyNumberFormat="1" applyFont="1" applyFill="1" applyBorder="1" applyAlignment="1" applyProtection="1">
      <alignment vertical="center"/>
      <protection locked="0"/>
    </xf>
    <xf numFmtId="9" fontId="57" fillId="0" borderId="21" xfId="81" applyFont="1" applyFill="1" applyBorder="1" applyAlignment="1" applyProtection="1">
      <alignment horizontal="center" vertical="center" wrapText="1"/>
    </xf>
    <xf numFmtId="167" fontId="58" fillId="25" borderId="18" xfId="0" applyNumberFormat="1" applyFont="1" applyFill="1" applyBorder="1" applyAlignment="1" applyProtection="1">
      <alignment vertical="center"/>
      <protection locked="0"/>
    </xf>
    <xf numFmtId="167" fontId="58" fillId="0" borderId="21" xfId="0" applyNumberFormat="1" applyFont="1" applyBorder="1" applyAlignment="1" applyProtection="1">
      <alignment vertical="center"/>
      <protection locked="0"/>
    </xf>
    <xf numFmtId="167" fontId="58" fillId="0" borderId="18" xfId="0" applyNumberFormat="1" applyFont="1" applyBorder="1" applyAlignment="1" applyProtection="1">
      <alignment vertical="center"/>
      <protection locked="0"/>
    </xf>
    <xf numFmtId="165" fontId="57" fillId="25" borderId="18" xfId="1" applyFont="1" applyFill="1" applyBorder="1" applyAlignment="1" applyProtection="1">
      <alignment horizontal="center" vertical="center"/>
      <protection locked="0"/>
    </xf>
    <xf numFmtId="9" fontId="57" fillId="25" borderId="18" xfId="81" applyFont="1" applyFill="1" applyBorder="1" applyAlignment="1" applyProtection="1">
      <alignment horizontal="center" vertical="center"/>
      <protection locked="0"/>
    </xf>
    <xf numFmtId="165" fontId="57" fillId="0" borderId="18" xfId="1" applyFont="1" applyFill="1" applyBorder="1" applyAlignment="1" applyProtection="1">
      <alignment horizontal="center" vertical="center"/>
      <protection locked="0"/>
    </xf>
    <xf numFmtId="9" fontId="57" fillId="0" borderId="18" xfId="81" applyFont="1" applyFill="1" applyBorder="1" applyAlignment="1" applyProtection="1">
      <alignment horizontal="center" vertical="center"/>
      <protection locked="0"/>
    </xf>
    <xf numFmtId="0" fontId="35" fillId="0" borderId="0" xfId="0" applyFont="1" applyAlignment="1">
      <alignment horizontal="center"/>
    </xf>
    <xf numFmtId="0" fontId="35" fillId="0" borderId="0" xfId="0" applyFont="1" applyAlignment="1">
      <alignment horizontal="center" wrapText="1"/>
    </xf>
    <xf numFmtId="0" fontId="8" fillId="0" borderId="0" xfId="0" applyFont="1" applyAlignment="1">
      <alignment horizontal="center"/>
    </xf>
    <xf numFmtId="164" fontId="0" fillId="0" borderId="0" xfId="0" applyNumberFormat="1"/>
    <xf numFmtId="171" fontId="8" fillId="0" borderId="0" xfId="1" applyNumberFormat="1" applyFont="1" applyBorder="1"/>
    <xf numFmtId="171" fontId="8" fillId="0" borderId="0" xfId="56" applyNumberFormat="1" applyFont="1" applyBorder="1"/>
    <xf numFmtId="2" fontId="54" fillId="0" borderId="0" xfId="226" applyNumberFormat="1" applyFont="1" applyBorder="1" applyAlignment="1">
      <alignment horizontal="center"/>
    </xf>
    <xf numFmtId="9" fontId="54" fillId="0" borderId="0" xfId="81" applyFont="1" applyBorder="1" applyAlignment="1">
      <alignment horizontal="center"/>
    </xf>
    <xf numFmtId="171" fontId="8" fillId="0" borderId="0" xfId="56" applyNumberFormat="1" applyFont="1" applyFill="1" applyBorder="1"/>
    <xf numFmtId="171" fontId="31" fillId="0" borderId="0" xfId="0" applyNumberFormat="1" applyFont="1"/>
    <xf numFmtId="171" fontId="8" fillId="0" borderId="0" xfId="0" applyNumberFormat="1" applyFont="1"/>
    <xf numFmtId="170" fontId="0" fillId="25" borderId="22" xfId="0" applyNumberFormat="1" applyFill="1" applyBorder="1"/>
    <xf numFmtId="2" fontId="49" fillId="0" borderId="0" xfId="220" applyNumberFormat="1" applyFont="1"/>
    <xf numFmtId="0" fontId="57" fillId="0" borderId="18" xfId="0" applyFont="1" applyBorder="1" applyAlignment="1" applyProtection="1">
      <alignment horizontal="center" vertical="center"/>
      <protection locked="0"/>
    </xf>
    <xf numFmtId="0" fontId="57" fillId="0" borderId="20" xfId="0" applyFont="1" applyBorder="1" applyAlignment="1" applyProtection="1">
      <alignment horizontal="center" vertical="center"/>
      <protection locked="0"/>
    </xf>
    <xf numFmtId="0" fontId="59" fillId="0" borderId="18" xfId="0" applyFont="1" applyBorder="1" applyAlignment="1" applyProtection="1">
      <alignment horizontal="center" vertical="center"/>
      <protection locked="0"/>
    </xf>
    <xf numFmtId="0" fontId="59" fillId="0" borderId="21" xfId="43" applyFont="1" applyBorder="1" applyAlignment="1">
      <alignment horizontal="center" vertical="center" wrapText="1"/>
    </xf>
    <xf numFmtId="0" fontId="59" fillId="0" borderId="20" xfId="0" applyFont="1" applyBorder="1" applyAlignment="1" applyProtection="1">
      <alignment horizontal="center" vertical="center"/>
      <protection locked="0"/>
    </xf>
    <xf numFmtId="165" fontId="59" fillId="0" borderId="21" xfId="1" applyFont="1" applyFill="1" applyBorder="1" applyAlignment="1" applyProtection="1">
      <alignment horizontal="center" vertical="center" wrapText="1"/>
    </xf>
    <xf numFmtId="167" fontId="59" fillId="0" borderId="21" xfId="1" applyNumberFormat="1" applyFont="1" applyFill="1" applyBorder="1" applyAlignment="1" applyProtection="1">
      <alignment horizontal="center" vertical="center" wrapText="1"/>
      <protection locked="0"/>
    </xf>
    <xf numFmtId="167" fontId="60" fillId="0" borderId="21" xfId="0" applyNumberFormat="1" applyFont="1" applyBorder="1" applyAlignment="1" applyProtection="1">
      <alignment vertical="center"/>
      <protection locked="0"/>
    </xf>
    <xf numFmtId="9" fontId="59" fillId="0" borderId="21" xfId="81" applyFont="1" applyFill="1" applyBorder="1" applyAlignment="1" applyProtection="1">
      <alignment horizontal="center" vertical="center" wrapText="1"/>
    </xf>
    <xf numFmtId="9" fontId="59" fillId="0" borderId="18" xfId="81" applyFont="1" applyFill="1" applyBorder="1" applyAlignment="1" applyProtection="1">
      <alignment horizontal="center" vertical="center" wrapText="1"/>
    </xf>
    <xf numFmtId="167" fontId="60" fillId="0" borderId="18" xfId="0" applyNumberFormat="1" applyFont="1" applyBorder="1" applyAlignment="1" applyProtection="1">
      <alignment vertical="center"/>
      <protection locked="0"/>
    </xf>
    <xf numFmtId="165" fontId="50" fillId="0" borderId="0" xfId="220" applyNumberFormat="1" applyFont="1" applyAlignment="1">
      <alignment horizontal="left" vertical="center"/>
    </xf>
    <xf numFmtId="0" fontId="50" fillId="0" borderId="0" xfId="227" applyFont="1"/>
    <xf numFmtId="170" fontId="50" fillId="0" borderId="0" xfId="228" applyNumberFormat="1" applyFont="1" applyAlignment="1">
      <alignment horizontal="center"/>
    </xf>
    <xf numFmtId="0" fontId="49" fillId="0" borderId="0" xfId="227" applyFont="1" applyAlignment="1">
      <alignment horizontal="center" vertical="center" wrapText="1"/>
    </xf>
    <xf numFmtId="0" fontId="49" fillId="0" borderId="0" xfId="227" applyFont="1" applyAlignment="1">
      <alignment horizontal="center" vertical="center"/>
    </xf>
    <xf numFmtId="167" fontId="49" fillId="0" borderId="0" xfId="227" applyNumberFormat="1" applyFont="1" applyAlignment="1">
      <alignment horizontal="center" vertical="center" wrapText="1"/>
    </xf>
    <xf numFmtId="0" fontId="49" fillId="0" borderId="0" xfId="227" applyFont="1" applyAlignment="1">
      <alignment horizontal="left" vertical="center"/>
    </xf>
    <xf numFmtId="172" fontId="50" fillId="0" borderId="0" xfId="227" applyNumberFormat="1" applyFont="1" applyAlignment="1">
      <alignment horizontal="center"/>
    </xf>
    <xf numFmtId="170" fontId="49" fillId="0" borderId="0" xfId="228" applyNumberFormat="1" applyFont="1" applyAlignment="1">
      <alignment horizontal="center"/>
    </xf>
    <xf numFmtId="170" fontId="50" fillId="0" borderId="0" xfId="227" applyNumberFormat="1" applyFont="1"/>
    <xf numFmtId="165" fontId="50" fillId="24" borderId="0" xfId="220" applyNumberFormat="1" applyFont="1" applyFill="1" applyAlignment="1">
      <alignment horizontal="left" vertical="center"/>
    </xf>
    <xf numFmtId="165" fontId="50" fillId="24" borderId="65" xfId="220" applyNumberFormat="1" applyFont="1" applyFill="1" applyBorder="1" applyAlignment="1">
      <alignment horizontal="left" vertical="center"/>
    </xf>
    <xf numFmtId="0" fontId="61" fillId="0" borderId="0" xfId="220" applyFont="1" applyAlignment="1">
      <alignment horizontal="center" vertical="center"/>
    </xf>
    <xf numFmtId="171" fontId="56" fillId="29" borderId="38" xfId="1" applyNumberFormat="1" applyFont="1" applyFill="1" applyBorder="1"/>
    <xf numFmtId="165" fontId="0" fillId="0" borderId="0" xfId="1" applyFont="1"/>
    <xf numFmtId="172" fontId="49" fillId="0" borderId="0" xfId="227" applyNumberFormat="1" applyFont="1" applyAlignment="1">
      <alignment horizontal="center"/>
    </xf>
    <xf numFmtId="172" fontId="49" fillId="0" borderId="0" xfId="228" applyNumberFormat="1" applyFont="1" applyAlignment="1">
      <alignment horizontal="center"/>
    </xf>
    <xf numFmtId="167" fontId="50" fillId="0" borderId="0" xfId="220" applyNumberFormat="1" applyFont="1"/>
    <xf numFmtId="165" fontId="50" fillId="24" borderId="0" xfId="1" applyFont="1" applyFill="1" applyAlignment="1">
      <alignment horizontal="left" vertical="center"/>
    </xf>
    <xf numFmtId="165" fontId="50" fillId="24" borderId="65" xfId="1" applyFont="1" applyFill="1" applyBorder="1" applyAlignment="1">
      <alignment horizontal="left" vertical="center"/>
    </xf>
    <xf numFmtId="165" fontId="50" fillId="24" borderId="65" xfId="1" applyFont="1" applyFill="1" applyBorder="1" applyAlignment="1">
      <alignment horizontal="center" vertical="center"/>
    </xf>
    <xf numFmtId="0" fontId="50" fillId="0" borderId="66" xfId="220" applyFont="1" applyBorder="1"/>
    <xf numFmtId="167" fontId="59" fillId="0" borderId="21" xfId="1" applyNumberFormat="1" applyFont="1" applyFill="1" applyBorder="1" applyAlignment="1" applyProtection="1">
      <alignment horizontal="center" vertical="center" wrapText="1"/>
    </xf>
    <xf numFmtId="167" fontId="59" fillId="0" borderId="18" xfId="1" applyNumberFormat="1" applyFont="1" applyFill="1" applyBorder="1" applyAlignment="1" applyProtection="1">
      <alignment horizontal="center" vertical="center" wrapText="1"/>
      <protection locked="0"/>
    </xf>
    <xf numFmtId="0" fontId="59" fillId="0" borderId="26" xfId="43" applyFont="1" applyBorder="1" applyAlignment="1">
      <alignment horizontal="center" vertical="center"/>
    </xf>
    <xf numFmtId="165" fontId="50" fillId="0" borderId="0" xfId="1" applyFont="1" applyBorder="1"/>
    <xf numFmtId="2" fontId="50" fillId="0" borderId="0" xfId="220" applyNumberFormat="1" applyFont="1"/>
    <xf numFmtId="9" fontId="50" fillId="0" borderId="0" xfId="81" applyFont="1" applyBorder="1" applyAlignment="1">
      <alignment horizontal="center"/>
    </xf>
    <xf numFmtId="44" fontId="8" fillId="40" borderId="18" xfId="1" applyNumberFormat="1" applyFont="1" applyFill="1" applyBorder="1"/>
    <xf numFmtId="171" fontId="8" fillId="40" borderId="18" xfId="56" applyNumberFormat="1" applyFont="1" applyFill="1" applyBorder="1"/>
    <xf numFmtId="1" fontId="8" fillId="40" borderId="18" xfId="226" applyNumberFormat="1" applyFont="1" applyFill="1" applyBorder="1" applyAlignment="1">
      <alignment horizontal="center"/>
    </xf>
    <xf numFmtId="171" fontId="56" fillId="40" borderId="18" xfId="1" applyNumberFormat="1" applyFont="1" applyFill="1" applyBorder="1"/>
    <xf numFmtId="1" fontId="54" fillId="40" borderId="18" xfId="226" applyNumberFormat="1" applyFont="1" applyFill="1" applyBorder="1" applyAlignment="1">
      <alignment horizontal="center"/>
    </xf>
    <xf numFmtId="9" fontId="54" fillId="40" borderId="18" xfId="81" applyFont="1" applyFill="1" applyBorder="1" applyAlignment="1">
      <alignment horizontal="center"/>
    </xf>
    <xf numFmtId="0" fontId="35" fillId="26" borderId="22" xfId="0" applyFont="1" applyFill="1" applyBorder="1" applyAlignment="1">
      <alignment horizontal="center" vertical="top" wrapText="1"/>
    </xf>
    <xf numFmtId="0" fontId="35" fillId="26" borderId="5" xfId="0" applyFont="1" applyFill="1" applyBorder="1" applyAlignment="1">
      <alignment vertical="top" wrapText="1"/>
    </xf>
    <xf numFmtId="0" fontId="35" fillId="26" borderId="5" xfId="0" applyFont="1" applyFill="1" applyBorder="1" applyAlignment="1">
      <alignment horizontal="center" vertical="top"/>
    </xf>
    <xf numFmtId="0" fontId="8" fillId="0" borderId="32" xfId="0" applyFont="1" applyBorder="1" applyAlignment="1">
      <alignment horizontal="center"/>
    </xf>
    <xf numFmtId="0" fontId="8" fillId="0" borderId="34" xfId="0" applyFont="1" applyBorder="1" applyAlignment="1">
      <alignment horizontal="center"/>
    </xf>
    <xf numFmtId="165" fontId="0" fillId="26" borderId="70" xfId="0" applyNumberFormat="1" applyFill="1" applyBorder="1" applyAlignment="1">
      <alignment horizontal="center" vertical="center"/>
    </xf>
    <xf numFmtId="0" fontId="12" fillId="25" borderId="57" xfId="0" applyFont="1" applyFill="1" applyBorder="1" applyAlignment="1" applyProtection="1">
      <alignment horizontal="center" vertical="center" wrapText="1"/>
      <protection locked="0"/>
    </xf>
    <xf numFmtId="0" fontId="12" fillId="25" borderId="64" xfId="0" applyFont="1" applyFill="1" applyBorder="1" applyAlignment="1" applyProtection="1">
      <alignment horizontal="center" vertical="center" wrapText="1"/>
      <protection locked="0"/>
    </xf>
    <xf numFmtId="167" fontId="60" fillId="0" borderId="33" xfId="0" applyNumberFormat="1" applyFont="1" applyBorder="1" applyAlignment="1" applyProtection="1">
      <alignment vertical="center"/>
      <protection locked="0"/>
    </xf>
    <xf numFmtId="0" fontId="31" fillId="25" borderId="72" xfId="0" applyFont="1" applyFill="1" applyBorder="1"/>
    <xf numFmtId="167" fontId="34" fillId="25" borderId="73" xfId="1" applyNumberFormat="1" applyFont="1" applyFill="1" applyBorder="1"/>
    <xf numFmtId="0" fontId="62" fillId="0" borderId="7" xfId="0" applyFont="1" applyBorder="1"/>
    <xf numFmtId="0" fontId="42" fillId="0" borderId="7" xfId="0" applyFont="1" applyBorder="1"/>
    <xf numFmtId="172" fontId="54" fillId="0" borderId="0" xfId="226" applyNumberFormat="1" applyFont="1" applyBorder="1" applyAlignment="1">
      <alignment horizontal="center"/>
    </xf>
    <xf numFmtId="9" fontId="8" fillId="0" borderId="18" xfId="81" applyFont="1" applyBorder="1" applyAlignment="1">
      <alignment horizontal="center"/>
    </xf>
    <xf numFmtId="0" fontId="0" fillId="42" borderId="0" xfId="0" applyFill="1"/>
    <xf numFmtId="9" fontId="8" fillId="42" borderId="18" xfId="81" applyFont="1" applyFill="1" applyBorder="1" applyAlignment="1">
      <alignment horizontal="center"/>
    </xf>
    <xf numFmtId="9" fontId="8" fillId="0" borderId="35" xfId="81" applyFont="1" applyBorder="1" applyAlignment="1">
      <alignment horizontal="center"/>
    </xf>
    <xf numFmtId="42" fontId="35" fillId="26" borderId="5" xfId="55" applyNumberFormat="1" applyFont="1" applyFill="1" applyBorder="1" applyAlignment="1">
      <alignment horizontal="center" vertical="top"/>
    </xf>
    <xf numFmtId="0" fontId="35" fillId="26" borderId="5" xfId="0" quotePrefix="1" applyFont="1" applyFill="1" applyBorder="1" applyAlignment="1">
      <alignment horizontal="center" vertical="top" wrapText="1"/>
    </xf>
    <xf numFmtId="170" fontId="8" fillId="27" borderId="18" xfId="1" applyNumberFormat="1" applyFont="1" applyFill="1" applyBorder="1"/>
    <xf numFmtId="170" fontId="8" fillId="0" borderId="18" xfId="1" applyNumberFormat="1" applyFont="1" applyBorder="1"/>
    <xf numFmtId="170" fontId="8" fillId="0" borderId="18" xfId="56" applyNumberFormat="1" applyFont="1" applyBorder="1"/>
    <xf numFmtId="170" fontId="31" fillId="0" borderId="18" xfId="0" applyNumberFormat="1" applyFont="1" applyBorder="1"/>
    <xf numFmtId="170" fontId="8" fillId="0" borderId="18" xfId="56" applyNumberFormat="1" applyFont="1" applyFill="1" applyBorder="1"/>
    <xf numFmtId="170" fontId="8" fillId="0" borderId="21" xfId="56" applyNumberFormat="1" applyFont="1" applyBorder="1"/>
    <xf numFmtId="170" fontId="8" fillId="0" borderId="35" xfId="1" applyNumberFormat="1" applyFont="1" applyBorder="1"/>
    <xf numFmtId="170" fontId="8" fillId="0" borderId="69" xfId="56" applyNumberFormat="1" applyFont="1" applyBorder="1"/>
    <xf numFmtId="171" fontId="31" fillId="40" borderId="18" xfId="0" applyNumberFormat="1" applyFont="1" applyFill="1" applyBorder="1"/>
    <xf numFmtId="171" fontId="8" fillId="40" borderId="33" xfId="0" applyNumberFormat="1" applyFont="1" applyFill="1" applyBorder="1"/>
    <xf numFmtId="0" fontId="8" fillId="0" borderId="57" xfId="0" applyFont="1" applyBorder="1" applyAlignment="1">
      <alignment horizontal="center"/>
    </xf>
    <xf numFmtId="0" fontId="8" fillId="26" borderId="79" xfId="0" applyFont="1" applyFill="1" applyBorder="1" applyAlignment="1">
      <alignment horizontal="center"/>
    </xf>
    <xf numFmtId="0" fontId="35" fillId="26" borderId="6" xfId="0" applyFont="1" applyFill="1" applyBorder="1" applyAlignment="1">
      <alignment horizontal="center" vertical="top" wrapText="1"/>
    </xf>
    <xf numFmtId="0" fontId="35" fillId="26" borderId="6" xfId="0" applyFont="1" applyFill="1" applyBorder="1" applyAlignment="1">
      <alignment horizontal="center"/>
    </xf>
    <xf numFmtId="10" fontId="36" fillId="26" borderId="6" xfId="225" quotePrefix="1" applyNumberFormat="1" applyFont="1" applyFill="1" applyBorder="1" applyAlignment="1">
      <alignment horizontal="center"/>
    </xf>
    <xf numFmtId="0" fontId="8" fillId="26" borderId="6" xfId="0" applyFont="1" applyFill="1" applyBorder="1" applyAlignment="1">
      <alignment horizontal="center"/>
    </xf>
    <xf numFmtId="0" fontId="8" fillId="26" borderId="36" xfId="0" applyFont="1" applyFill="1" applyBorder="1" applyAlignment="1">
      <alignment horizontal="center"/>
    </xf>
    <xf numFmtId="0" fontId="8" fillId="26" borderId="80" xfId="0" quotePrefix="1" applyFont="1" applyFill="1" applyBorder="1" applyAlignment="1">
      <alignment horizontal="center"/>
    </xf>
    <xf numFmtId="0" fontId="8" fillId="26" borderId="70" xfId="0" applyFont="1" applyFill="1" applyBorder="1" applyAlignment="1">
      <alignment horizontal="center"/>
    </xf>
    <xf numFmtId="44" fontId="8" fillId="0" borderId="27" xfId="56" applyNumberFormat="1" applyFont="1" applyBorder="1"/>
    <xf numFmtId="1" fontId="8" fillId="0" borderId="27" xfId="226" applyNumberFormat="1" applyFont="1" applyBorder="1" applyAlignment="1">
      <alignment horizontal="center"/>
    </xf>
    <xf numFmtId="44" fontId="8" fillId="0" borderId="64" xfId="0" applyNumberFormat="1" applyFont="1" applyBorder="1"/>
    <xf numFmtId="170" fontId="8" fillId="0" borderId="35" xfId="56" applyNumberFormat="1" applyFont="1" applyBorder="1"/>
    <xf numFmtId="170" fontId="8" fillId="0" borderId="35" xfId="56" applyNumberFormat="1" applyFont="1" applyFill="1" applyBorder="1"/>
    <xf numFmtId="170" fontId="8" fillId="0" borderId="33" xfId="0" applyNumberFormat="1" applyFont="1" applyBorder="1"/>
    <xf numFmtId="170" fontId="31" fillId="0" borderId="35" xfId="0" applyNumberFormat="1" applyFont="1" applyBorder="1"/>
    <xf numFmtId="170" fontId="8" fillId="0" borderId="63" xfId="0" applyNumberFormat="1" applyFont="1" applyBorder="1"/>
    <xf numFmtId="0" fontId="35" fillId="26" borderId="5" xfId="0" quotePrefix="1" applyFont="1" applyFill="1" applyBorder="1" applyAlignment="1">
      <alignment horizontal="center"/>
    </xf>
    <xf numFmtId="171" fontId="56" fillId="29" borderId="33" xfId="1" applyNumberFormat="1" applyFont="1" applyFill="1" applyBorder="1"/>
    <xf numFmtId="170" fontId="35" fillId="31" borderId="5" xfId="55" applyNumberFormat="1" applyFont="1" applyFill="1" applyBorder="1" applyAlignment="1">
      <alignment horizontal="center"/>
    </xf>
    <xf numFmtId="171" fontId="8" fillId="40" borderId="38" xfId="56" applyNumberFormat="1" applyFont="1" applyFill="1" applyBorder="1"/>
    <xf numFmtId="2" fontId="54" fillId="40" borderId="38" xfId="226" applyNumberFormat="1" applyFont="1" applyFill="1" applyBorder="1" applyAlignment="1">
      <alignment horizontal="center"/>
    </xf>
    <xf numFmtId="9" fontId="54" fillId="40" borderId="38" xfId="81" applyFont="1" applyFill="1" applyBorder="1" applyAlignment="1">
      <alignment horizontal="center"/>
    </xf>
    <xf numFmtId="171" fontId="31" fillId="40" borderId="38" xfId="0" applyNumberFormat="1" applyFont="1" applyFill="1" applyBorder="1"/>
    <xf numFmtId="0" fontId="8" fillId="0" borderId="30" xfId="0" applyFont="1" applyBorder="1" applyAlignment="1">
      <alignment horizontal="center"/>
    </xf>
    <xf numFmtId="9" fontId="8" fillId="0" borderId="31" xfId="81" applyFont="1" applyBorder="1" applyAlignment="1">
      <alignment horizontal="center"/>
    </xf>
    <xf numFmtId="0" fontId="8" fillId="42" borderId="32" xfId="0" applyFont="1" applyFill="1" applyBorder="1" applyAlignment="1">
      <alignment horizontal="center"/>
    </xf>
    <xf numFmtId="170" fontId="8" fillId="0" borderId="31" xfId="56" applyNumberFormat="1" applyFont="1" applyBorder="1"/>
    <xf numFmtId="170" fontId="8" fillId="42" borderId="18" xfId="1" applyNumberFormat="1" applyFont="1" applyFill="1" applyBorder="1"/>
    <xf numFmtId="170" fontId="8" fillId="42" borderId="18" xfId="56" applyNumberFormat="1" applyFont="1" applyFill="1" applyBorder="1"/>
    <xf numFmtId="170" fontId="31" fillId="0" borderId="31" xfId="56" applyNumberFormat="1" applyFont="1" applyFill="1" applyBorder="1"/>
    <xf numFmtId="170" fontId="31" fillId="0" borderId="31" xfId="0" applyNumberFormat="1" applyFont="1" applyBorder="1"/>
    <xf numFmtId="170" fontId="8" fillId="0" borderId="62" xfId="0" applyNumberFormat="1" applyFont="1" applyBorder="1"/>
    <xf numFmtId="170" fontId="31" fillId="42" borderId="18" xfId="0" applyNumberFormat="1" applyFont="1" applyFill="1" applyBorder="1"/>
    <xf numFmtId="170" fontId="8" fillId="42" borderId="33" xfId="0" applyNumberFormat="1" applyFont="1" applyFill="1" applyBorder="1"/>
    <xf numFmtId="170" fontId="8" fillId="0" borderId="31" xfId="1" applyNumberFormat="1" applyFont="1" applyBorder="1"/>
    <xf numFmtId="0" fontId="8" fillId="0" borderId="56" xfId="0" applyFont="1" applyBorder="1" applyAlignment="1">
      <alignment horizontal="center"/>
    </xf>
    <xf numFmtId="171" fontId="56" fillId="29" borderId="59" xfId="1" applyNumberFormat="1" applyFont="1" applyFill="1" applyBorder="1"/>
    <xf numFmtId="171" fontId="8" fillId="40" borderId="68" xfId="0" applyNumberFormat="1" applyFont="1" applyFill="1" applyBorder="1"/>
    <xf numFmtId="0" fontId="8" fillId="0" borderId="67" xfId="0" applyFont="1" applyBorder="1" applyAlignment="1">
      <alignment horizontal="center"/>
    </xf>
    <xf numFmtId="171" fontId="56" fillId="29" borderId="68" xfId="1" applyNumberFormat="1" applyFont="1" applyFill="1" applyBorder="1"/>
    <xf numFmtId="170" fontId="8" fillId="27" borderId="31" xfId="1" applyNumberFormat="1" applyFont="1" applyFill="1" applyBorder="1"/>
    <xf numFmtId="170" fontId="8" fillId="27" borderId="35" xfId="1" applyNumberFormat="1" applyFont="1" applyFill="1" applyBorder="1"/>
    <xf numFmtId="170" fontId="0" fillId="42" borderId="0" xfId="1" applyNumberFormat="1" applyFont="1" applyFill="1"/>
    <xf numFmtId="170" fontId="8" fillId="0" borderId="18" xfId="1" applyNumberFormat="1" applyFont="1" applyFill="1" applyBorder="1"/>
    <xf numFmtId="168" fontId="11" fillId="34" borderId="44" xfId="1" applyNumberFormat="1" applyFont="1" applyFill="1" applyBorder="1" applyAlignment="1" applyProtection="1">
      <alignment horizontal="center" vertical="center" wrapText="1"/>
    </xf>
    <xf numFmtId="170" fontId="63" fillId="39" borderId="31" xfId="1" applyNumberFormat="1" applyFont="1" applyFill="1" applyBorder="1"/>
    <xf numFmtId="170" fontId="8" fillId="39" borderId="31" xfId="56" applyNumberFormat="1" applyFont="1" applyFill="1" applyBorder="1"/>
    <xf numFmtId="170" fontId="8" fillId="39" borderId="18" xfId="56" applyNumberFormat="1" applyFont="1" applyFill="1" applyBorder="1"/>
    <xf numFmtId="170" fontId="8" fillId="39" borderId="31" xfId="1" applyNumberFormat="1" applyFont="1" applyFill="1" applyBorder="1"/>
    <xf numFmtId="170" fontId="31" fillId="0" borderId="81" xfId="56" applyNumberFormat="1" applyFont="1" applyFill="1" applyBorder="1"/>
    <xf numFmtId="0" fontId="42" fillId="0" borderId="0" xfId="0" applyFont="1"/>
    <xf numFmtId="2" fontId="8" fillId="0" borderId="31" xfId="56" applyNumberFormat="1" applyFont="1" applyBorder="1"/>
    <xf numFmtId="2" fontId="8" fillId="0" borderId="18" xfId="56" applyNumberFormat="1" applyFont="1" applyBorder="1"/>
    <xf numFmtId="2" fontId="8" fillId="0" borderId="18" xfId="56" applyNumberFormat="1" applyFont="1" applyFill="1" applyBorder="1"/>
    <xf numFmtId="2" fontId="8" fillId="42" borderId="18" xfId="56" applyNumberFormat="1" applyFont="1" applyFill="1" applyBorder="1"/>
    <xf numFmtId="0" fontId="49" fillId="30" borderId="42" xfId="227" applyFont="1" applyFill="1" applyBorder="1" applyAlignment="1">
      <alignment horizontal="center" vertical="center"/>
    </xf>
    <xf numFmtId="0" fontId="50" fillId="27" borderId="23" xfId="227" applyFont="1" applyFill="1" applyBorder="1" applyAlignment="1">
      <alignment horizontal="center" vertical="center"/>
    </xf>
    <xf numFmtId="0" fontId="50" fillId="27" borderId="24" xfId="227" applyFont="1" applyFill="1" applyBorder="1" applyAlignment="1">
      <alignment horizontal="left" vertical="center"/>
    </xf>
    <xf numFmtId="0" fontId="50" fillId="27" borderId="24" xfId="227" applyFont="1" applyFill="1" applyBorder="1" applyAlignment="1">
      <alignment horizontal="left" vertical="center" wrapText="1"/>
    </xf>
    <xf numFmtId="0" fontId="50" fillId="27" borderId="24" xfId="227" applyFont="1" applyFill="1" applyBorder="1" applyAlignment="1">
      <alignment horizontal="center" vertical="center"/>
    </xf>
    <xf numFmtId="9" fontId="50" fillId="27" borderId="24" xfId="229" applyFont="1" applyFill="1" applyBorder="1" applyAlignment="1">
      <alignment horizontal="center" vertical="center"/>
    </xf>
    <xf numFmtId="168" fontId="50" fillId="27" borderId="24" xfId="229" applyNumberFormat="1" applyFont="1" applyFill="1" applyBorder="1" applyAlignment="1">
      <alignment horizontal="center" vertical="center"/>
    </xf>
    <xf numFmtId="0" fontId="50" fillId="27" borderId="24" xfId="227" applyFont="1" applyFill="1" applyBorder="1"/>
    <xf numFmtId="0" fontId="50" fillId="27" borderId="24" xfId="228" applyNumberFormat="1" applyFont="1" applyFill="1" applyBorder="1" applyAlignment="1">
      <alignment horizontal="center" vertical="center"/>
    </xf>
    <xf numFmtId="170" fontId="50" fillId="27" borderId="24" xfId="1" applyNumberFormat="1" applyFont="1" applyFill="1" applyBorder="1" applyAlignment="1">
      <alignment horizontal="center" vertical="center" wrapText="1"/>
    </xf>
    <xf numFmtId="172" fontId="50" fillId="27" borderId="24" xfId="227" applyNumberFormat="1" applyFont="1" applyFill="1" applyBorder="1" applyAlignment="1">
      <alignment horizontal="center" vertical="center"/>
    </xf>
    <xf numFmtId="170" fontId="50" fillId="27" borderId="24" xfId="228" applyNumberFormat="1" applyFont="1" applyFill="1" applyBorder="1" applyAlignment="1">
      <alignment horizontal="center" vertical="center"/>
    </xf>
    <xf numFmtId="167" fontId="50" fillId="27" borderId="24" xfId="96" applyNumberFormat="1" applyFont="1" applyFill="1" applyBorder="1" applyAlignment="1">
      <alignment horizontal="center" vertical="center"/>
    </xf>
    <xf numFmtId="172" fontId="50" fillId="27" borderId="24" xfId="227" applyNumberFormat="1" applyFont="1" applyFill="1" applyBorder="1"/>
    <xf numFmtId="0" fontId="50" fillId="27" borderId="47" xfId="227" applyFont="1" applyFill="1" applyBorder="1"/>
    <xf numFmtId="0" fontId="50" fillId="27" borderId="51" xfId="227" applyFont="1" applyFill="1" applyBorder="1" applyAlignment="1">
      <alignment horizontal="center" vertical="center"/>
    </xf>
    <xf numFmtId="0" fontId="50" fillId="27" borderId="52" xfId="227" applyFont="1" applyFill="1" applyBorder="1" applyAlignment="1">
      <alignment horizontal="left" vertical="center"/>
    </xf>
    <xf numFmtId="0" fontId="50" fillId="27" borderId="52" xfId="227" applyFont="1" applyFill="1" applyBorder="1" applyAlignment="1">
      <alignment horizontal="left" vertical="center" wrapText="1"/>
    </xf>
    <xf numFmtId="0" fontId="50" fillId="27" borderId="52" xfId="227" applyFont="1" applyFill="1" applyBorder="1" applyAlignment="1">
      <alignment horizontal="center" vertical="center"/>
    </xf>
    <xf numFmtId="9" fontId="50" fillId="27" borderId="52" xfId="229" applyFont="1" applyFill="1" applyBorder="1" applyAlignment="1">
      <alignment horizontal="center" vertical="center"/>
    </xf>
    <xf numFmtId="0" fontId="50" fillId="27" borderId="52" xfId="227" applyFont="1" applyFill="1" applyBorder="1"/>
    <xf numFmtId="0" fontId="50" fillId="27" borderId="52" xfId="1" applyNumberFormat="1" applyFont="1" applyFill="1" applyBorder="1" applyAlignment="1">
      <alignment horizontal="center" vertical="center"/>
    </xf>
    <xf numFmtId="0" fontId="50" fillId="27" borderId="52" xfId="228" applyNumberFormat="1" applyFont="1" applyFill="1" applyBorder="1" applyAlignment="1">
      <alignment horizontal="center" vertical="center"/>
    </xf>
    <xf numFmtId="170" fontId="50" fillId="27" borderId="52" xfId="1" applyNumberFormat="1" applyFont="1" applyFill="1" applyBorder="1" applyAlignment="1">
      <alignment horizontal="center" vertical="center" wrapText="1"/>
    </xf>
    <xf numFmtId="172" fontId="50" fillId="27" borderId="52" xfId="227" applyNumberFormat="1" applyFont="1" applyFill="1" applyBorder="1" applyAlignment="1">
      <alignment horizontal="center" vertical="center"/>
    </xf>
    <xf numFmtId="170" fontId="50" fillId="27" borderId="52" xfId="228" applyNumberFormat="1" applyFont="1" applyFill="1" applyBorder="1" applyAlignment="1">
      <alignment horizontal="center" vertical="center"/>
    </xf>
    <xf numFmtId="167" fontId="50" fillId="27" borderId="52" xfId="96" applyNumberFormat="1" applyFont="1" applyFill="1" applyBorder="1" applyAlignment="1">
      <alignment horizontal="center" vertical="center"/>
    </xf>
    <xf numFmtId="0" fontId="50" fillId="27" borderId="84" xfId="227" applyFont="1" applyFill="1" applyBorder="1"/>
    <xf numFmtId="9" fontId="53" fillId="27" borderId="24" xfId="81" applyFont="1" applyFill="1" applyBorder="1" applyAlignment="1">
      <alignment horizontal="center" vertical="center" wrapText="1"/>
    </xf>
    <xf numFmtId="0" fontId="50" fillId="27" borderId="24" xfId="1" applyNumberFormat="1" applyFont="1" applyFill="1" applyBorder="1" applyAlignment="1">
      <alignment horizontal="center" vertical="center"/>
    </xf>
    <xf numFmtId="0" fontId="53" fillId="27" borderId="24" xfId="227" applyFont="1" applyFill="1" applyBorder="1" applyAlignment="1">
      <alignment horizontal="center" vertical="center"/>
    </xf>
    <xf numFmtId="170" fontId="50" fillId="27" borderId="24" xfId="227" applyNumberFormat="1" applyFont="1" applyFill="1" applyBorder="1" applyAlignment="1">
      <alignment horizontal="center" vertical="center"/>
    </xf>
    <xf numFmtId="0" fontId="0" fillId="27" borderId="47" xfId="0" applyFill="1" applyBorder="1"/>
    <xf numFmtId="0" fontId="50" fillId="27" borderId="25" xfId="227" applyFont="1" applyFill="1" applyBorder="1" applyAlignment="1">
      <alignment horizontal="center" vertical="center"/>
    </xf>
    <xf numFmtId="0" fontId="50" fillId="27" borderId="0" xfId="227" applyFont="1" applyFill="1" applyAlignment="1">
      <alignment horizontal="left" vertical="center" wrapText="1"/>
    </xf>
    <xf numFmtId="0" fontId="50" fillId="27" borderId="0" xfId="227" applyFont="1" applyFill="1" applyAlignment="1">
      <alignment horizontal="center" vertical="center"/>
    </xf>
    <xf numFmtId="9" fontId="50" fillId="27" borderId="0" xfId="81" applyFont="1" applyFill="1" applyBorder="1" applyAlignment="1">
      <alignment horizontal="center" vertical="center" wrapText="1"/>
    </xf>
    <xf numFmtId="9" fontId="50" fillId="27" borderId="0" xfId="229" applyFont="1" applyFill="1" applyBorder="1" applyAlignment="1">
      <alignment horizontal="center" vertical="center"/>
    </xf>
    <xf numFmtId="170" fontId="50" fillId="27" borderId="0" xfId="1" applyNumberFormat="1" applyFont="1" applyFill="1" applyBorder="1" applyAlignment="1">
      <alignment horizontal="center" vertical="center" wrapText="1"/>
    </xf>
    <xf numFmtId="0" fontId="50" fillId="27" borderId="0" xfId="227" applyFont="1" applyFill="1"/>
    <xf numFmtId="0" fontId="50" fillId="27" borderId="0" xfId="1" applyNumberFormat="1" applyFont="1" applyFill="1" applyBorder="1" applyAlignment="1">
      <alignment horizontal="center" vertical="center"/>
    </xf>
    <xf numFmtId="0" fontId="50" fillId="27" borderId="0" xfId="228" applyNumberFormat="1" applyFont="1" applyFill="1" applyBorder="1" applyAlignment="1">
      <alignment horizontal="center" vertical="center"/>
    </xf>
    <xf numFmtId="170" fontId="50" fillId="27" borderId="0" xfId="227" applyNumberFormat="1" applyFont="1" applyFill="1" applyAlignment="1">
      <alignment horizontal="center" vertical="center"/>
    </xf>
    <xf numFmtId="170" fontId="50" fillId="27" borderId="0" xfId="228" applyNumberFormat="1" applyFont="1" applyFill="1" applyBorder="1" applyAlignment="1">
      <alignment horizontal="center" vertical="center"/>
    </xf>
    <xf numFmtId="167" fontId="50" fillId="27" borderId="0" xfId="96" applyNumberFormat="1" applyFont="1" applyFill="1" applyAlignment="1">
      <alignment horizontal="center" vertical="center"/>
    </xf>
    <xf numFmtId="0" fontId="49" fillId="27" borderId="50" xfId="227" applyFont="1" applyFill="1" applyBorder="1" applyAlignment="1">
      <alignment horizontal="center" vertical="center"/>
    </xf>
    <xf numFmtId="168" fontId="50" fillId="27" borderId="0" xfId="229" applyNumberFormat="1" applyFont="1" applyFill="1" applyBorder="1" applyAlignment="1">
      <alignment horizontal="center" vertical="center"/>
    </xf>
    <xf numFmtId="0" fontId="53" fillId="27" borderId="52" xfId="227" applyFont="1" applyFill="1" applyBorder="1" applyAlignment="1">
      <alignment horizontal="left" vertical="center" wrapText="1"/>
    </xf>
    <xf numFmtId="168" fontId="50" fillId="27" borderId="52" xfId="229" applyNumberFormat="1" applyFont="1" applyFill="1" applyBorder="1" applyAlignment="1">
      <alignment horizontal="center" vertical="center"/>
    </xf>
    <xf numFmtId="0" fontId="53" fillId="27" borderId="52" xfId="227" applyFont="1" applyFill="1" applyBorder="1" applyAlignment="1">
      <alignment horizontal="center" vertical="center" wrapText="1"/>
    </xf>
    <xf numFmtId="170" fontId="50" fillId="27" borderId="52" xfId="227" applyNumberFormat="1" applyFont="1" applyFill="1" applyBorder="1" applyAlignment="1">
      <alignment horizontal="center" vertical="center"/>
    </xf>
    <xf numFmtId="0" fontId="49" fillId="27" borderId="84" xfId="227" applyFont="1" applyFill="1" applyBorder="1" applyAlignment="1">
      <alignment horizontal="center" vertical="center"/>
    </xf>
    <xf numFmtId="170" fontId="50" fillId="27" borderId="24" xfId="1" applyNumberFormat="1" applyFont="1" applyFill="1" applyBorder="1" applyAlignment="1">
      <alignment horizontal="center" vertical="center"/>
    </xf>
    <xf numFmtId="0" fontId="49" fillId="27" borderId="24" xfId="227" applyFont="1" applyFill="1" applyBorder="1" applyAlignment="1">
      <alignment horizontal="center" vertical="center" wrapText="1"/>
    </xf>
    <xf numFmtId="0" fontId="49" fillId="27" borderId="50" xfId="227" applyFont="1" applyFill="1" applyBorder="1" applyAlignment="1">
      <alignment horizontal="center" vertical="center" wrapText="1"/>
    </xf>
    <xf numFmtId="0" fontId="49" fillId="27" borderId="84" xfId="227" applyFont="1" applyFill="1" applyBorder="1" applyAlignment="1">
      <alignment horizontal="center" vertical="center" wrapText="1"/>
    </xf>
    <xf numFmtId="0" fontId="49" fillId="0" borderId="55" xfId="227" applyFont="1" applyBorder="1" applyAlignment="1">
      <alignment horizontal="center" vertical="center"/>
    </xf>
    <xf numFmtId="0" fontId="49" fillId="27" borderId="53" xfId="227" applyFont="1" applyFill="1" applyBorder="1" applyAlignment="1">
      <alignment horizontal="center" vertical="center"/>
    </xf>
    <xf numFmtId="0" fontId="49" fillId="27" borderId="83" xfId="227" applyFont="1" applyFill="1" applyBorder="1" applyAlignment="1">
      <alignment horizontal="center" vertical="center"/>
    </xf>
    <xf numFmtId="0" fontId="49" fillId="27" borderId="83" xfId="227" applyFont="1" applyFill="1" applyBorder="1" applyAlignment="1">
      <alignment horizontal="center" vertical="center" wrapText="1"/>
    </xf>
    <xf numFmtId="165" fontId="49" fillId="27" borderId="83" xfId="228" applyFont="1" applyFill="1" applyBorder="1" applyAlignment="1">
      <alignment horizontal="center" vertical="center" wrapText="1"/>
    </xf>
    <xf numFmtId="167" fontId="49" fillId="27" borderId="54" xfId="227" applyNumberFormat="1" applyFont="1" applyFill="1" applyBorder="1" applyAlignment="1">
      <alignment horizontal="center" vertical="center" wrapText="1"/>
    </xf>
    <xf numFmtId="9" fontId="50" fillId="27" borderId="0" xfId="81" applyFont="1" applyFill="1" applyBorder="1" applyAlignment="1">
      <alignment horizontal="center" vertical="center"/>
    </xf>
    <xf numFmtId="0" fontId="49" fillId="30" borderId="83" xfId="220" applyFont="1" applyFill="1" applyBorder="1" applyAlignment="1">
      <alignment horizontal="center" vertical="center"/>
    </xf>
    <xf numFmtId="0" fontId="49" fillId="27" borderId="88" xfId="220" applyFont="1" applyFill="1" applyBorder="1" applyAlignment="1">
      <alignment horizontal="center" vertical="center"/>
    </xf>
    <xf numFmtId="0" fontId="49" fillId="27" borderId="89" xfId="220" applyFont="1" applyFill="1" applyBorder="1" applyAlignment="1">
      <alignment horizontal="left" vertical="center"/>
    </xf>
    <xf numFmtId="0" fontId="49" fillId="27" borderId="89" xfId="220" applyFont="1" applyFill="1" applyBorder="1" applyAlignment="1">
      <alignment horizontal="center" vertical="center"/>
    </xf>
    <xf numFmtId="0" fontId="49" fillId="27" borderId="89" xfId="220" applyFont="1" applyFill="1" applyBorder="1" applyAlignment="1">
      <alignment horizontal="center" vertical="center" wrapText="1"/>
    </xf>
    <xf numFmtId="0" fontId="49" fillId="27" borderId="89" xfId="227" applyFont="1" applyFill="1" applyBorder="1" applyAlignment="1">
      <alignment horizontal="center" vertical="center" wrapText="1"/>
    </xf>
    <xf numFmtId="0" fontId="49" fillId="27" borderId="82" xfId="220" applyFont="1" applyFill="1" applyBorder="1" applyAlignment="1">
      <alignment horizontal="center" vertical="center" wrapText="1"/>
    </xf>
    <xf numFmtId="0" fontId="50" fillId="27" borderId="25" xfId="220" applyFont="1" applyFill="1" applyBorder="1" applyAlignment="1">
      <alignment horizontal="center" vertical="center"/>
    </xf>
    <xf numFmtId="0" fontId="50" fillId="27" borderId="0" xfId="220" applyFont="1" applyFill="1" applyAlignment="1">
      <alignment horizontal="left" vertical="center"/>
    </xf>
    <xf numFmtId="0" fontId="50" fillId="27" borderId="0" xfId="220" applyFont="1" applyFill="1" applyAlignment="1">
      <alignment horizontal="center" vertical="center"/>
    </xf>
    <xf numFmtId="9" fontId="50" fillId="27" borderId="0" xfId="221" applyFont="1" applyFill="1" applyBorder="1" applyAlignment="1">
      <alignment horizontal="center" vertical="center"/>
    </xf>
    <xf numFmtId="167" fontId="50" fillId="27" borderId="0" xfId="1" applyNumberFormat="1" applyFont="1" applyFill="1" applyBorder="1" applyAlignment="1">
      <alignment horizontal="center" vertical="center"/>
    </xf>
    <xf numFmtId="167" fontId="50" fillId="27" borderId="50" xfId="1" applyNumberFormat="1" applyFont="1" applyFill="1" applyBorder="1" applyAlignment="1">
      <alignment horizontal="center" vertical="center"/>
    </xf>
    <xf numFmtId="0" fontId="50" fillId="27" borderId="45" xfId="220" applyFont="1" applyFill="1" applyBorder="1" applyAlignment="1">
      <alignment horizontal="center" vertical="center"/>
    </xf>
    <xf numFmtId="0" fontId="50" fillId="27" borderId="7" xfId="220" applyFont="1" applyFill="1" applyBorder="1" applyAlignment="1">
      <alignment horizontal="left" vertical="center"/>
    </xf>
    <xf numFmtId="0" fontId="50" fillId="27" borderId="7" xfId="220" applyFont="1" applyFill="1" applyBorder="1" applyAlignment="1">
      <alignment horizontal="center" vertical="center"/>
    </xf>
    <xf numFmtId="9" fontId="50" fillId="27" borderId="7" xfId="221" applyFont="1" applyFill="1" applyBorder="1" applyAlignment="1">
      <alignment horizontal="center" vertical="center"/>
    </xf>
    <xf numFmtId="167" fontId="50" fillId="27" borderId="7" xfId="1" applyNumberFormat="1" applyFont="1" applyFill="1" applyBorder="1" applyAlignment="1">
      <alignment horizontal="center" vertical="center"/>
    </xf>
    <xf numFmtId="167" fontId="50" fillId="27" borderId="49" xfId="1" applyNumberFormat="1" applyFont="1" applyFill="1" applyBorder="1" applyAlignment="1">
      <alignment horizontal="center" vertical="center"/>
    </xf>
    <xf numFmtId="0" fontId="50" fillId="27" borderId="51" xfId="220" applyFont="1" applyFill="1" applyBorder="1"/>
    <xf numFmtId="0" fontId="50" fillId="27" borderId="52" xfId="220" applyFont="1" applyFill="1" applyBorder="1"/>
    <xf numFmtId="0" fontId="50" fillId="27" borderId="52" xfId="220" applyFont="1" applyFill="1" applyBorder="1" applyAlignment="1">
      <alignment horizontal="left" vertical="center"/>
    </xf>
    <xf numFmtId="167" fontId="50" fillId="27" borderId="52" xfId="220" applyNumberFormat="1" applyFont="1" applyFill="1" applyBorder="1"/>
    <xf numFmtId="0" fontId="50" fillId="27" borderId="84" xfId="220" applyFont="1" applyFill="1" applyBorder="1"/>
    <xf numFmtId="0" fontId="49" fillId="30" borderId="90" xfId="220" applyFont="1" applyFill="1" applyBorder="1" applyAlignment="1">
      <alignment horizontal="center" vertical="center" wrapText="1"/>
    </xf>
    <xf numFmtId="170" fontId="50" fillId="27" borderId="50" xfId="220" applyNumberFormat="1" applyFont="1" applyFill="1" applyBorder="1" applyAlignment="1">
      <alignment horizontal="center" vertical="center"/>
    </xf>
    <xf numFmtId="165" fontId="50" fillId="27" borderId="0" xfId="1" applyFont="1" applyFill="1" applyBorder="1" applyAlignment="1">
      <alignment horizontal="center" vertical="center"/>
    </xf>
    <xf numFmtId="165" fontId="50" fillId="27" borderId="50" xfId="1" applyFont="1" applyFill="1" applyBorder="1" applyAlignment="1">
      <alignment horizontal="center" vertical="center"/>
    </xf>
    <xf numFmtId="0" fontId="49" fillId="27" borderId="51" xfId="220" applyFont="1" applyFill="1" applyBorder="1" applyAlignment="1">
      <alignment horizontal="center" vertical="center"/>
    </xf>
    <xf numFmtId="0" fontId="49" fillId="27" borderId="52" xfId="220" applyFont="1" applyFill="1" applyBorder="1" applyAlignment="1">
      <alignment horizontal="left" vertical="center"/>
    </xf>
    <xf numFmtId="0" fontId="49" fillId="27" borderId="52" xfId="220" applyFont="1" applyFill="1" applyBorder="1" applyAlignment="1">
      <alignment horizontal="center" vertical="center"/>
    </xf>
    <xf numFmtId="0" fontId="49" fillId="27" borderId="52" xfId="220" applyFont="1" applyFill="1" applyBorder="1" applyAlignment="1">
      <alignment horizontal="center" vertical="center" wrapText="1"/>
    </xf>
    <xf numFmtId="9" fontId="50" fillId="27" borderId="7" xfId="81" applyFont="1" applyFill="1" applyBorder="1" applyAlignment="1">
      <alignment horizontal="center" vertical="center"/>
    </xf>
    <xf numFmtId="165" fontId="50" fillId="27" borderId="7" xfId="1" applyFont="1" applyFill="1" applyBorder="1" applyAlignment="1">
      <alignment horizontal="center" vertical="center"/>
    </xf>
    <xf numFmtId="165" fontId="50" fillId="27" borderId="49" xfId="1" applyFont="1" applyFill="1" applyBorder="1" applyAlignment="1">
      <alignment horizontal="center" vertical="center"/>
    </xf>
    <xf numFmtId="0" fontId="64" fillId="27" borderId="29" xfId="0" applyFont="1" applyFill="1" applyBorder="1" applyAlignment="1">
      <alignment horizontal="left" indent="3"/>
    </xf>
    <xf numFmtId="170" fontId="64" fillId="27" borderId="3" xfId="0" applyNumberFormat="1" applyFont="1" applyFill="1" applyBorder="1" applyAlignment="1">
      <alignment horizontal="center"/>
    </xf>
    <xf numFmtId="0" fontId="64" fillId="0" borderId="0" xfId="0" applyFont="1" applyAlignment="1">
      <alignment horizontal="center"/>
    </xf>
    <xf numFmtId="0" fontId="64" fillId="27" borderId="29" xfId="0" applyFont="1" applyFill="1" applyBorder="1"/>
    <xf numFmtId="6" fontId="64" fillId="27" borderId="0" xfId="0" applyNumberFormat="1" applyFont="1" applyFill="1" applyAlignment="1">
      <alignment horizontal="right"/>
    </xf>
    <xf numFmtId="0" fontId="64" fillId="0" borderId="0" xfId="0" applyFont="1"/>
    <xf numFmtId="0" fontId="64" fillId="27" borderId="0" xfId="0" applyFont="1" applyFill="1"/>
    <xf numFmtId="0" fontId="64" fillId="27" borderId="3" xfId="0" applyFont="1" applyFill="1" applyBorder="1"/>
    <xf numFmtId="0" fontId="64" fillId="0" borderId="40" xfId="0" applyFont="1" applyBorder="1"/>
    <xf numFmtId="0" fontId="64" fillId="43" borderId="41" xfId="0" applyFont="1" applyFill="1" applyBorder="1"/>
    <xf numFmtId="0" fontId="64" fillId="0" borderId="59" xfId="0" applyFont="1" applyBorder="1"/>
    <xf numFmtId="10" fontId="64" fillId="27" borderId="3" xfId="81" applyNumberFormat="1" applyFont="1" applyFill="1" applyBorder="1" applyAlignment="1">
      <alignment horizontal="center"/>
    </xf>
    <xf numFmtId="165" fontId="64" fillId="27" borderId="29" xfId="1" applyFont="1" applyFill="1" applyBorder="1"/>
    <xf numFmtId="165" fontId="64" fillId="27" borderId="0" xfId="1" applyFont="1" applyFill="1" applyBorder="1"/>
    <xf numFmtId="165" fontId="64" fillId="27" borderId="3" xfId="1" applyFont="1" applyFill="1" applyBorder="1"/>
    <xf numFmtId="0" fontId="65" fillId="43" borderId="0" xfId="0" applyFont="1" applyFill="1" applyAlignment="1">
      <alignment horizontal="center" vertical="center" wrapText="1"/>
    </xf>
    <xf numFmtId="0" fontId="64" fillId="27" borderId="3" xfId="0" applyFont="1" applyFill="1" applyBorder="1" applyAlignment="1">
      <alignment horizontal="center"/>
    </xf>
    <xf numFmtId="0" fontId="64" fillId="0" borderId="29" xfId="0" applyFont="1" applyBorder="1"/>
    <xf numFmtId="0" fontId="64" fillId="27" borderId="44" xfId="0" applyFont="1" applyFill="1" applyBorder="1" applyAlignment="1">
      <alignment horizontal="left" indent="3"/>
    </xf>
    <xf numFmtId="0" fontId="64" fillId="27" borderId="26" xfId="0" applyFont="1" applyFill="1" applyBorder="1" applyAlignment="1">
      <alignment horizontal="center"/>
    </xf>
    <xf numFmtId="0" fontId="64" fillId="27" borderId="20" xfId="0" applyFont="1" applyFill="1" applyBorder="1"/>
    <xf numFmtId="0" fontId="64" fillId="27" borderId="8" xfId="0" applyFont="1" applyFill="1" applyBorder="1"/>
    <xf numFmtId="0" fontId="64" fillId="27" borderId="21" xfId="0" applyFont="1" applyFill="1" applyBorder="1"/>
    <xf numFmtId="0" fontId="65" fillId="0" borderId="0" xfId="0" applyFont="1" applyAlignment="1">
      <alignment horizontal="center"/>
    </xf>
    <xf numFmtId="8" fontId="64" fillId="0" borderId="0" xfId="0" applyNumberFormat="1" applyFont="1"/>
    <xf numFmtId="17" fontId="66" fillId="27" borderId="20" xfId="0" applyNumberFormat="1" applyFont="1" applyFill="1" applyBorder="1"/>
    <xf numFmtId="6" fontId="66" fillId="27" borderId="8" xfId="0" applyNumberFormat="1" applyFont="1" applyFill="1" applyBorder="1" applyAlignment="1">
      <alignment horizontal="right"/>
    </xf>
    <xf numFmtId="6" fontId="66" fillId="27" borderId="21" xfId="0" applyNumberFormat="1" applyFont="1" applyFill="1" applyBorder="1" applyAlignment="1">
      <alignment horizontal="right"/>
    </xf>
    <xf numFmtId="17" fontId="64" fillId="0" borderId="0" xfId="0" applyNumberFormat="1" applyFont="1"/>
    <xf numFmtId="173" fontId="64" fillId="0" borderId="0" xfId="0" applyNumberFormat="1" applyFont="1" applyAlignment="1">
      <alignment horizontal="center"/>
    </xf>
    <xf numFmtId="0" fontId="64" fillId="0" borderId="20" xfId="0" applyFont="1" applyBorder="1"/>
    <xf numFmtId="0" fontId="67" fillId="43" borderId="8" xfId="0" applyFont="1" applyFill="1" applyBorder="1" applyAlignment="1">
      <alignment horizontal="right" vertical="center" wrapText="1"/>
    </xf>
    <xf numFmtId="0" fontId="68" fillId="0" borderId="0" xfId="0" applyFont="1"/>
    <xf numFmtId="0" fontId="69" fillId="0" borderId="0" xfId="0" applyFont="1" applyAlignment="1">
      <alignment horizontal="center"/>
    </xf>
    <xf numFmtId="0" fontId="66" fillId="0" borderId="0" xfId="0" applyFont="1"/>
    <xf numFmtId="0" fontId="70" fillId="0" borderId="0" xfId="0" applyFont="1" applyAlignment="1">
      <alignment horizontal="left"/>
    </xf>
    <xf numFmtId="0" fontId="66" fillId="32" borderId="20" xfId="0" applyFont="1" applyFill="1" applyBorder="1"/>
    <xf numFmtId="0" fontId="66" fillId="32" borderId="40" xfId="0" applyFont="1" applyFill="1" applyBorder="1"/>
    <xf numFmtId="0" fontId="64" fillId="32" borderId="41" xfId="0" applyFont="1" applyFill="1" applyBorder="1"/>
    <xf numFmtId="0" fontId="64" fillId="32" borderId="59" xfId="0" applyFont="1" applyFill="1" applyBorder="1"/>
    <xf numFmtId="0" fontId="64" fillId="32" borderId="44" xfId="0" applyFont="1" applyFill="1" applyBorder="1"/>
    <xf numFmtId="0" fontId="64" fillId="32" borderId="7" xfId="0" applyFont="1" applyFill="1" applyBorder="1"/>
    <xf numFmtId="0" fontId="64" fillId="32" borderId="26" xfId="0" applyFont="1" applyFill="1" applyBorder="1"/>
    <xf numFmtId="0" fontId="66" fillId="0" borderId="40" xfId="0" applyFont="1" applyBorder="1"/>
    <xf numFmtId="0" fontId="64" fillId="27" borderId="59" xfId="0" applyFont="1" applyFill="1" applyBorder="1"/>
    <xf numFmtId="0" fontId="64" fillId="43" borderId="0" xfId="0" applyFont="1" applyFill="1"/>
    <xf numFmtId="0" fontId="64" fillId="0" borderId="3" xfId="0" applyFont="1" applyBorder="1"/>
    <xf numFmtId="0" fontId="66" fillId="32" borderId="29" xfId="0" applyFont="1" applyFill="1" applyBorder="1" applyAlignment="1">
      <alignment horizontal="left" indent="1"/>
    </xf>
    <xf numFmtId="0" fontId="64" fillId="32" borderId="3" xfId="0" applyFont="1" applyFill="1" applyBorder="1"/>
    <xf numFmtId="0" fontId="66" fillId="27" borderId="44" xfId="0" applyFont="1" applyFill="1" applyBorder="1"/>
    <xf numFmtId="0" fontId="66" fillId="27" borderId="7" xfId="0" applyFont="1" applyFill="1" applyBorder="1"/>
    <xf numFmtId="0" fontId="66" fillId="27" borderId="26" xfId="0" applyFont="1" applyFill="1" applyBorder="1"/>
    <xf numFmtId="0" fontId="71" fillId="0" borderId="0" xfId="87" applyFont="1"/>
    <xf numFmtId="0" fontId="72" fillId="0" borderId="0" xfId="87" applyFont="1" applyAlignment="1">
      <alignment horizontal="center"/>
    </xf>
    <xf numFmtId="0" fontId="72" fillId="0" borderId="0" xfId="87" applyFont="1"/>
    <xf numFmtId="0" fontId="64" fillId="0" borderId="0" xfId="87" applyFont="1"/>
    <xf numFmtId="174" fontId="72" fillId="0" borderId="0" xfId="87" applyNumberFormat="1" applyFont="1"/>
    <xf numFmtId="0" fontId="73" fillId="24" borderId="0" xfId="87" applyFont="1" applyFill="1" applyAlignment="1">
      <alignment horizontal="right" vertical="center"/>
    </xf>
    <xf numFmtId="0" fontId="64" fillId="0" borderId="0" xfId="87" applyFont="1" applyAlignment="1">
      <alignment horizontal="right" vertical="center"/>
    </xf>
    <xf numFmtId="2" fontId="72" fillId="0" borderId="38" xfId="87" applyNumberFormat="1" applyFont="1" applyBorder="1" applyAlignment="1">
      <alignment horizontal="right" vertical="center"/>
    </xf>
    <xf numFmtId="2" fontId="72" fillId="0" borderId="59" xfId="87" applyNumberFormat="1" applyFont="1" applyBorder="1" applyAlignment="1">
      <alignment horizontal="right" vertical="center"/>
    </xf>
    <xf numFmtId="166" fontId="72" fillId="0" borderId="27" xfId="87" applyNumberFormat="1" applyFont="1" applyBorder="1" applyAlignment="1">
      <alignment horizontal="right" vertical="center"/>
    </xf>
    <xf numFmtId="166" fontId="72" fillId="0" borderId="26" xfId="87" applyNumberFormat="1" applyFont="1" applyBorder="1" applyAlignment="1">
      <alignment horizontal="right" vertical="center"/>
    </xf>
    <xf numFmtId="0" fontId="75" fillId="0" borderId="0" xfId="75" applyFont="1" applyAlignment="1">
      <alignment horizontal="center"/>
    </xf>
    <xf numFmtId="0" fontId="74" fillId="33" borderId="32" xfId="75" applyFont="1" applyFill="1" applyBorder="1" applyAlignment="1">
      <alignment horizontal="center" vertical="center" wrapText="1"/>
    </xf>
    <xf numFmtId="0" fontId="74" fillId="33" borderId="18" xfId="75" applyFont="1" applyFill="1" applyBorder="1" applyAlignment="1">
      <alignment horizontal="center" vertical="center" wrapText="1"/>
    </xf>
    <xf numFmtId="0" fontId="74" fillId="33" borderId="33" xfId="75" applyFont="1" applyFill="1" applyBorder="1" applyAlignment="1">
      <alignment horizontal="center" vertical="center" wrapText="1"/>
    </xf>
    <xf numFmtId="0" fontId="74" fillId="0" borderId="0" xfId="75" applyFont="1" applyAlignment="1">
      <alignment horizontal="center" vertical="center" wrapText="1"/>
    </xf>
    <xf numFmtId="0" fontId="74" fillId="0" borderId="30" xfId="87" applyFont="1" applyBorder="1" applyAlignment="1">
      <alignment horizontal="center" vertical="center" wrapText="1"/>
    </xf>
    <xf numFmtId="0" fontId="66" fillId="0" borderId="31" xfId="87" applyFont="1" applyBorder="1" applyAlignment="1">
      <alignment horizontal="center" vertical="center" wrapText="1"/>
    </xf>
    <xf numFmtId="0" fontId="66" fillId="0" borderId="62" xfId="87" applyFont="1" applyBorder="1" applyAlignment="1">
      <alignment horizontal="center" vertical="center" wrapText="1"/>
    </xf>
    <xf numFmtId="0" fontId="72" fillId="0" borderId="32" xfId="87" applyFont="1" applyBorder="1" applyAlignment="1">
      <alignment horizontal="center" vertical="center" wrapText="1"/>
    </xf>
    <xf numFmtId="10" fontId="72" fillId="0" borderId="18" xfId="230" applyNumberFormat="1" applyFont="1" applyFill="1" applyBorder="1" applyAlignment="1">
      <alignment horizontal="center" vertical="center" wrapText="1"/>
    </xf>
    <xf numFmtId="169" fontId="72" fillId="0" borderId="18" xfId="231" applyNumberFormat="1" applyFont="1" applyFill="1" applyBorder="1" applyAlignment="1">
      <alignment horizontal="center" vertical="center" wrapText="1"/>
    </xf>
    <xf numFmtId="43" fontId="72" fillId="0" borderId="18" xfId="231" applyFont="1" applyFill="1" applyBorder="1" applyAlignment="1">
      <alignment horizontal="center" vertical="center" wrapText="1"/>
    </xf>
    <xf numFmtId="2" fontId="72" fillId="0" borderId="18" xfId="87" applyNumberFormat="1" applyFont="1" applyBorder="1" applyAlignment="1">
      <alignment horizontal="center" vertical="center"/>
    </xf>
    <xf numFmtId="2" fontId="72" fillId="0" borderId="33" xfId="87" applyNumberFormat="1" applyFont="1" applyBorder="1" applyAlignment="1">
      <alignment horizontal="center" vertical="center"/>
    </xf>
    <xf numFmtId="2" fontId="72" fillId="0" borderId="0" xfId="87" applyNumberFormat="1" applyFont="1" applyAlignment="1">
      <alignment horizontal="center" vertical="center"/>
    </xf>
    <xf numFmtId="0" fontId="74" fillId="0" borderId="32" xfId="87" applyFont="1" applyBorder="1" applyAlignment="1">
      <alignment horizontal="center" vertical="center" wrapText="1"/>
    </xf>
    <xf numFmtId="0" fontId="64" fillId="0" borderId="18" xfId="87" applyFont="1" applyBorder="1"/>
    <xf numFmtId="0" fontId="64" fillId="0" borderId="50" xfId="87" applyFont="1" applyBorder="1"/>
    <xf numFmtId="0" fontId="72" fillId="0" borderId="34" xfId="87" applyFont="1" applyBorder="1" applyAlignment="1">
      <alignment horizontal="center" vertical="center" wrapText="1"/>
    </xf>
    <xf numFmtId="10" fontId="72" fillId="0" borderId="35" xfId="230" applyNumberFormat="1" applyFont="1" applyFill="1" applyBorder="1" applyAlignment="1">
      <alignment horizontal="center" vertical="center" wrapText="1"/>
    </xf>
    <xf numFmtId="169" fontId="72" fillId="0" borderId="35" xfId="231" applyNumberFormat="1" applyFont="1" applyFill="1" applyBorder="1" applyAlignment="1">
      <alignment horizontal="center" vertical="center" wrapText="1"/>
    </xf>
    <xf numFmtId="43" fontId="72" fillId="0" borderId="35" xfId="231" applyFont="1" applyFill="1" applyBorder="1" applyAlignment="1">
      <alignment horizontal="center" vertical="center" wrapText="1"/>
    </xf>
    <xf numFmtId="2" fontId="72" fillId="0" borderId="35" xfId="87" applyNumberFormat="1" applyFont="1" applyBorder="1" applyAlignment="1">
      <alignment horizontal="center" vertical="center"/>
    </xf>
    <xf numFmtId="2" fontId="72" fillId="0" borderId="63" xfId="87" applyNumberFormat="1" applyFont="1" applyBorder="1" applyAlignment="1">
      <alignment horizontal="center" vertical="center"/>
    </xf>
    <xf numFmtId="2" fontId="74" fillId="0" borderId="0" xfId="87" applyNumberFormat="1" applyFont="1" applyAlignment="1">
      <alignment horizontal="center" vertical="center" wrapText="1"/>
    </xf>
    <xf numFmtId="166" fontId="66" fillId="0" borderId="35" xfId="87" applyNumberFormat="1" applyFont="1" applyBorder="1" applyAlignment="1">
      <alignment horizontal="center" vertical="center"/>
    </xf>
    <xf numFmtId="166" fontId="66" fillId="0" borderId="63" xfId="87" applyNumberFormat="1" applyFont="1" applyBorder="1" applyAlignment="1">
      <alignment horizontal="center" vertical="center"/>
    </xf>
    <xf numFmtId="0" fontId="72" fillId="0" borderId="30" xfId="87" applyFont="1" applyBorder="1" applyAlignment="1">
      <alignment horizontal="center" vertical="center" wrapText="1"/>
    </xf>
    <xf numFmtId="10" fontId="72" fillId="0" borderId="31" xfId="230" applyNumberFormat="1" applyFont="1" applyFill="1" applyBorder="1" applyAlignment="1">
      <alignment horizontal="center" vertical="center" wrapText="1"/>
    </xf>
    <xf numFmtId="169" fontId="72" fillId="0" borderId="31" xfId="231" applyNumberFormat="1" applyFont="1" applyFill="1" applyBorder="1" applyAlignment="1">
      <alignment horizontal="center" vertical="center" wrapText="1"/>
    </xf>
    <xf numFmtId="43" fontId="72" fillId="0" borderId="31" xfId="231" applyFont="1" applyFill="1" applyBorder="1" applyAlignment="1">
      <alignment horizontal="center" vertical="center" wrapText="1"/>
    </xf>
    <xf numFmtId="2" fontId="72" fillId="0" borderId="31" xfId="87" applyNumberFormat="1" applyFont="1" applyBorder="1" applyAlignment="1">
      <alignment horizontal="center" vertical="center"/>
    </xf>
    <xf numFmtId="2" fontId="72" fillId="0" borderId="62" xfId="87" applyNumberFormat="1" applyFont="1" applyBorder="1" applyAlignment="1">
      <alignment horizontal="center" vertical="center"/>
    </xf>
    <xf numFmtId="2" fontId="72" fillId="49" borderId="30" xfId="87" applyNumberFormat="1" applyFont="1" applyFill="1" applyBorder="1" applyAlignment="1">
      <alignment horizontal="center" vertical="center"/>
    </xf>
    <xf numFmtId="2" fontId="72" fillId="49" borderId="2" xfId="87" applyNumberFormat="1" applyFont="1" applyFill="1" applyBorder="1" applyAlignment="1">
      <alignment horizontal="right"/>
    </xf>
    <xf numFmtId="2" fontId="72" fillId="49" borderId="28" xfId="87" applyNumberFormat="1" applyFont="1" applyFill="1" applyBorder="1" applyAlignment="1">
      <alignment horizontal="right"/>
    </xf>
    <xf numFmtId="2" fontId="72" fillId="0" borderId="32" xfId="87" applyNumberFormat="1" applyFont="1" applyBorder="1" applyAlignment="1">
      <alignment horizontal="center" vertical="center"/>
    </xf>
    <xf numFmtId="2" fontId="72" fillId="0" borderId="48" xfId="87" applyNumberFormat="1" applyFont="1" applyBorder="1" applyAlignment="1">
      <alignment horizontal="center" vertical="center"/>
    </xf>
    <xf numFmtId="2" fontId="64" fillId="0" borderId="18" xfId="87" applyNumberFormat="1" applyFont="1" applyBorder="1"/>
    <xf numFmtId="2" fontId="64" fillId="0" borderId="33" xfId="87" applyNumberFormat="1" applyFont="1" applyBorder="1"/>
    <xf numFmtId="0" fontId="76" fillId="0" borderId="0" xfId="87" applyFont="1" applyAlignment="1">
      <alignment horizontal="left" wrapText="1"/>
    </xf>
    <xf numFmtId="2" fontId="64" fillId="38" borderId="18" xfId="87" applyNumberFormat="1" applyFont="1" applyFill="1" applyBorder="1"/>
    <xf numFmtId="169" fontId="64" fillId="0" borderId="0" xfId="87" applyNumberFormat="1" applyFont="1"/>
    <xf numFmtId="0" fontId="72" fillId="0" borderId="67" xfId="87" applyFont="1" applyBorder="1" applyAlignment="1">
      <alignment horizontal="center" vertical="center" wrapText="1"/>
    </xf>
    <xf numFmtId="10" fontId="72" fillId="0" borderId="38" xfId="230" applyNumberFormat="1" applyFont="1" applyFill="1" applyBorder="1" applyAlignment="1">
      <alignment horizontal="center" vertical="center" wrapText="1"/>
    </xf>
    <xf numFmtId="169" fontId="72" fillId="0" borderId="38" xfId="231" applyNumberFormat="1" applyFont="1" applyFill="1" applyBorder="1" applyAlignment="1">
      <alignment horizontal="center" vertical="center" wrapText="1"/>
    </xf>
    <xf numFmtId="43" fontId="72" fillId="0" borderId="38" xfId="231" applyFont="1" applyFill="1" applyBorder="1" applyAlignment="1">
      <alignment horizontal="center" vertical="center" wrapText="1"/>
    </xf>
    <xf numFmtId="2" fontId="72" fillId="0" borderId="38" xfId="87" applyNumberFormat="1" applyFont="1" applyBorder="1" applyAlignment="1">
      <alignment horizontal="center" vertical="center"/>
    </xf>
    <xf numFmtId="2" fontId="72" fillId="0" borderId="68" xfId="87" applyNumberFormat="1" applyFont="1" applyBorder="1" applyAlignment="1">
      <alignment horizontal="center" vertical="center"/>
    </xf>
    <xf numFmtId="0" fontId="64" fillId="38" borderId="0" xfId="87" applyFont="1" applyFill="1" applyAlignment="1">
      <alignment horizontal="center"/>
    </xf>
    <xf numFmtId="0" fontId="72" fillId="38" borderId="34" xfId="87" applyFont="1" applyFill="1" applyBorder="1" applyAlignment="1">
      <alignment horizontal="center" vertical="center" wrapText="1"/>
    </xf>
    <xf numFmtId="10" fontId="72" fillId="38" borderId="35" xfId="230" applyNumberFormat="1" applyFont="1" applyFill="1" applyBorder="1" applyAlignment="1">
      <alignment horizontal="center" vertical="center" wrapText="1"/>
    </xf>
    <xf numFmtId="169" fontId="72" fillId="38" borderId="35" xfId="231" applyNumberFormat="1" applyFont="1" applyFill="1" applyBorder="1" applyAlignment="1">
      <alignment horizontal="center" vertical="center" wrapText="1"/>
    </xf>
    <xf numFmtId="43" fontId="72" fillId="38" borderId="35" xfId="231" applyFont="1" applyFill="1" applyBorder="1" applyAlignment="1">
      <alignment horizontal="center" vertical="center" wrapText="1"/>
    </xf>
    <xf numFmtId="2" fontId="72" fillId="38" borderId="35" xfId="87" applyNumberFormat="1" applyFont="1" applyFill="1" applyBorder="1" applyAlignment="1">
      <alignment horizontal="center" vertical="center"/>
    </xf>
    <xf numFmtId="2" fontId="72" fillId="38" borderId="63" xfId="87" applyNumberFormat="1" applyFont="1" applyFill="1" applyBorder="1" applyAlignment="1">
      <alignment horizontal="center" vertical="center"/>
    </xf>
    <xf numFmtId="2" fontId="72" fillId="38" borderId="48" xfId="87" applyNumberFormat="1" applyFont="1" applyFill="1" applyBorder="1" applyAlignment="1">
      <alignment horizontal="center" vertical="center"/>
    </xf>
    <xf numFmtId="0" fontId="72" fillId="38" borderId="57" xfId="87" applyFont="1" applyFill="1" applyBorder="1" applyAlignment="1">
      <alignment horizontal="center" vertical="center" wrapText="1"/>
    </xf>
    <xf numFmtId="2" fontId="64" fillId="38" borderId="33" xfId="87" applyNumberFormat="1" applyFont="1" applyFill="1" applyBorder="1"/>
    <xf numFmtId="10" fontId="72" fillId="0" borderId="27" xfId="230" applyNumberFormat="1" applyFont="1" applyFill="1" applyBorder="1" applyAlignment="1">
      <alignment horizontal="center" vertical="center" wrapText="1"/>
    </xf>
    <xf numFmtId="169" fontId="72" fillId="0" borderId="27" xfId="231" applyNumberFormat="1" applyFont="1" applyFill="1" applyBorder="1" applyAlignment="1">
      <alignment horizontal="center" vertical="center" wrapText="1"/>
    </xf>
    <xf numFmtId="43" fontId="72" fillId="0" borderId="27" xfId="231" applyFont="1" applyFill="1" applyBorder="1" applyAlignment="1">
      <alignment horizontal="center" vertical="center" wrapText="1"/>
    </xf>
    <xf numFmtId="2" fontId="72" fillId="0" borderId="34" xfId="87" applyNumberFormat="1" applyFont="1" applyBorder="1" applyAlignment="1">
      <alignment horizontal="center" vertical="center"/>
    </xf>
    <xf numFmtId="2" fontId="72" fillId="0" borderId="75" xfId="87" applyNumberFormat="1" applyFont="1" applyBorder="1" applyAlignment="1">
      <alignment horizontal="center" vertical="center"/>
    </xf>
    <xf numFmtId="2" fontId="64" fillId="0" borderId="35" xfId="87" applyNumberFormat="1" applyFont="1" applyBorder="1"/>
    <xf numFmtId="2" fontId="64" fillId="0" borderId="63" xfId="87" applyNumberFormat="1" applyFont="1" applyBorder="1"/>
    <xf numFmtId="0" fontId="66" fillId="46" borderId="23" xfId="0" applyFont="1" applyFill="1" applyBorder="1" applyAlignment="1">
      <alignment horizontal="center"/>
    </xf>
    <xf numFmtId="0" fontId="78" fillId="44" borderId="24" xfId="0" applyFont="1" applyFill="1" applyBorder="1" applyAlignment="1">
      <alignment horizontal="center" wrapText="1"/>
    </xf>
    <xf numFmtId="0" fontId="64" fillId="27" borderId="56" xfId="0" applyFont="1" applyFill="1" applyBorder="1" applyAlignment="1">
      <alignment horizontal="left"/>
    </xf>
    <xf numFmtId="171" fontId="64" fillId="27" borderId="0" xfId="218" applyNumberFormat="1" applyFont="1" applyFill="1" applyBorder="1" applyAlignment="1">
      <alignment horizontal="center"/>
    </xf>
    <xf numFmtId="0" fontId="64" fillId="27" borderId="25" xfId="0" applyFont="1" applyFill="1" applyBorder="1" applyAlignment="1">
      <alignment horizontal="left"/>
    </xf>
    <xf numFmtId="174" fontId="64" fillId="27" borderId="77" xfId="218" applyNumberFormat="1" applyFont="1" applyFill="1" applyBorder="1" applyAlignment="1">
      <alignment horizontal="center"/>
    </xf>
    <xf numFmtId="0" fontId="78" fillId="47" borderId="60" xfId="0" applyFont="1" applyFill="1" applyBorder="1" applyAlignment="1">
      <alignment horizontal="left"/>
    </xf>
    <xf numFmtId="171" fontId="78" fillId="44" borderId="61" xfId="218" applyNumberFormat="1" applyFont="1" applyFill="1" applyBorder="1" applyAlignment="1"/>
    <xf numFmtId="174" fontId="78" fillId="48" borderId="78" xfId="218" applyNumberFormat="1" applyFont="1" applyFill="1" applyBorder="1" applyAlignment="1">
      <alignment horizontal="center"/>
    </xf>
    <xf numFmtId="0" fontId="66" fillId="46" borderId="23" xfId="0" applyFont="1" applyFill="1" applyBorder="1"/>
    <xf numFmtId="0" fontId="78" fillId="48" borderId="47" xfId="0" applyFont="1" applyFill="1" applyBorder="1" applyAlignment="1">
      <alignment horizontal="center" wrapText="1"/>
    </xf>
    <xf numFmtId="171" fontId="64" fillId="27" borderId="41" xfId="218" applyNumberFormat="1" applyFont="1" applyFill="1" applyBorder="1" applyAlignment="1">
      <alignment horizontal="center"/>
    </xf>
    <xf numFmtId="174" fontId="64" fillId="27" borderId="74" xfId="218" applyNumberFormat="1" applyFont="1" applyFill="1" applyBorder="1" applyAlignment="1">
      <alignment horizontal="center"/>
    </xf>
    <xf numFmtId="174" fontId="64" fillId="27" borderId="50" xfId="218" applyNumberFormat="1" applyFont="1" applyFill="1" applyBorder="1" applyAlignment="1">
      <alignment horizontal="center"/>
    </xf>
    <xf numFmtId="0" fontId="64" fillId="27" borderId="45" xfId="0" applyFont="1" applyFill="1" applyBorder="1" applyAlignment="1">
      <alignment horizontal="left"/>
    </xf>
    <xf numFmtId="171" fontId="64" fillId="27" borderId="7" xfId="218" applyNumberFormat="1" applyFont="1" applyFill="1" applyBorder="1" applyAlignment="1">
      <alignment horizontal="center"/>
    </xf>
    <xf numFmtId="174" fontId="64" fillId="27" borderId="49" xfId="218" applyNumberFormat="1" applyFont="1" applyFill="1" applyBorder="1" applyAlignment="1">
      <alignment horizontal="center"/>
    </xf>
    <xf numFmtId="174" fontId="78" fillId="48" borderId="75" xfId="218" applyNumberFormat="1" applyFont="1" applyFill="1" applyBorder="1" applyAlignment="1">
      <alignment horizontal="center"/>
    </xf>
    <xf numFmtId="0" fontId="77" fillId="0" borderId="0" xfId="0" applyFont="1"/>
    <xf numFmtId="0" fontId="78" fillId="44" borderId="47" xfId="0" applyFont="1" applyFill="1" applyBorder="1" applyAlignment="1">
      <alignment horizontal="center" wrapText="1"/>
    </xf>
    <xf numFmtId="0" fontId="78" fillId="0" borderId="0" xfId="0" applyFont="1" applyAlignment="1">
      <alignment horizontal="center" wrapText="1"/>
    </xf>
    <xf numFmtId="0" fontId="64" fillId="0" borderId="25" xfId="0" applyFont="1" applyBorder="1" applyAlignment="1">
      <alignment horizontal="left"/>
    </xf>
    <xf numFmtId="171" fontId="64" fillId="0" borderId="0" xfId="218" applyNumberFormat="1" applyFont="1" applyFill="1" applyBorder="1" applyAlignment="1">
      <alignment horizontal="center"/>
    </xf>
    <xf numFmtId="171" fontId="64" fillId="0" borderId="50" xfId="218" applyNumberFormat="1" applyFont="1" applyFill="1" applyBorder="1" applyAlignment="1">
      <alignment horizontal="center"/>
    </xf>
    <xf numFmtId="174" fontId="64" fillId="0" borderId="0" xfId="218" applyNumberFormat="1" applyFont="1" applyFill="1" applyBorder="1" applyAlignment="1">
      <alignment horizontal="center"/>
    </xf>
    <xf numFmtId="0" fontId="64" fillId="0" borderId="45" xfId="0" applyFont="1" applyBorder="1" applyAlignment="1">
      <alignment horizontal="left"/>
    </xf>
    <xf numFmtId="171" fontId="64" fillId="0" borderId="7" xfId="218" applyNumberFormat="1" applyFont="1" applyFill="1" applyBorder="1" applyAlignment="1">
      <alignment horizontal="center"/>
    </xf>
    <xf numFmtId="171" fontId="64" fillId="0" borderId="49" xfId="218" applyNumberFormat="1" applyFont="1" applyFill="1" applyBorder="1" applyAlignment="1">
      <alignment horizontal="center"/>
    </xf>
    <xf numFmtId="174" fontId="64" fillId="0" borderId="0" xfId="218" applyNumberFormat="1" applyFont="1" applyFill="1" applyBorder="1" applyAlignment="1">
      <alignment horizontal="left"/>
    </xf>
    <xf numFmtId="171" fontId="78" fillId="44" borderId="75" xfId="218" applyNumberFormat="1" applyFont="1" applyFill="1" applyBorder="1" applyAlignment="1"/>
    <xf numFmtId="174" fontId="78" fillId="0" borderId="0" xfId="218" applyNumberFormat="1" applyFont="1" applyFill="1" applyBorder="1" applyAlignment="1">
      <alignment horizontal="center"/>
    </xf>
    <xf numFmtId="171" fontId="64" fillId="27" borderId="49" xfId="218" applyNumberFormat="1" applyFont="1" applyFill="1" applyBorder="1" applyAlignment="1">
      <alignment horizontal="center"/>
    </xf>
    <xf numFmtId="0" fontId="66" fillId="0" borderId="20" xfId="0" applyFont="1" applyBorder="1"/>
    <xf numFmtId="0" fontId="64" fillId="0" borderId="21" xfId="0" applyFont="1" applyBorder="1"/>
    <xf numFmtId="0" fontId="64" fillId="0" borderId="41" xfId="0" applyFont="1" applyBorder="1"/>
    <xf numFmtId="0" fontId="66" fillId="33" borderId="40" xfId="0" applyFont="1" applyFill="1" applyBorder="1"/>
    <xf numFmtId="0" fontId="64" fillId="33" borderId="59" xfId="0" applyFont="1" applyFill="1" applyBorder="1"/>
    <xf numFmtId="10" fontId="64" fillId="0" borderId="0" xfId="0" applyNumberFormat="1" applyFont="1"/>
    <xf numFmtId="10" fontId="66" fillId="0" borderId="0" xfId="81" applyNumberFormat="1" applyFont="1" applyBorder="1"/>
    <xf numFmtId="0" fontId="64" fillId="0" borderId="44" xfId="0" applyFont="1" applyBorder="1"/>
    <xf numFmtId="10" fontId="64" fillId="0" borderId="0" xfId="81" applyNumberFormat="1" applyFont="1" applyFill="1" applyBorder="1"/>
    <xf numFmtId="0" fontId="66" fillId="0" borderId="3" xfId="0" applyFont="1" applyBorder="1"/>
    <xf numFmtId="168" fontId="64" fillId="0" borderId="0" xfId="0" applyNumberFormat="1" applyFont="1"/>
    <xf numFmtId="9" fontId="64" fillId="0" borderId="0" xfId="81" applyFont="1" applyFill="1" applyBorder="1"/>
    <xf numFmtId="0" fontId="66" fillId="33" borderId="20" xfId="0" applyFont="1" applyFill="1" applyBorder="1"/>
    <xf numFmtId="0" fontId="64" fillId="33" borderId="21" xfId="0" applyFont="1" applyFill="1" applyBorder="1"/>
    <xf numFmtId="10" fontId="64" fillId="0" borderId="21" xfId="0" applyNumberFormat="1" applyFont="1" applyBorder="1"/>
    <xf numFmtId="0" fontId="66" fillId="34" borderId="20" xfId="0" applyFont="1" applyFill="1" applyBorder="1"/>
    <xf numFmtId="0" fontId="66" fillId="34" borderId="21" xfId="0" applyFont="1" applyFill="1" applyBorder="1"/>
    <xf numFmtId="0" fontId="74" fillId="40" borderId="30" xfId="0" applyFont="1" applyFill="1" applyBorder="1"/>
    <xf numFmtId="0" fontId="74" fillId="40" borderId="62" xfId="0" applyFont="1" applyFill="1" applyBorder="1"/>
    <xf numFmtId="0" fontId="79" fillId="0" borderId="0" xfId="0" applyFont="1"/>
    <xf numFmtId="167" fontId="79" fillId="0" borderId="0" xfId="1" applyNumberFormat="1" applyFont="1" applyFill="1" applyBorder="1"/>
    <xf numFmtId="170" fontId="79" fillId="0" borderId="0" xfId="0" applyNumberFormat="1" applyFont="1"/>
    <xf numFmtId="172" fontId="79" fillId="0" borderId="0" xfId="0" applyNumberFormat="1" applyFont="1"/>
    <xf numFmtId="9" fontId="79" fillId="0" borderId="0" xfId="81" applyFont="1" applyFill="1" applyBorder="1"/>
    <xf numFmtId="0" fontId="64" fillId="0" borderId="0" xfId="0" applyFont="1" applyAlignment="1">
      <alignment vertical="top" wrapText="1"/>
    </xf>
    <xf numFmtId="0" fontId="76" fillId="27" borderId="18" xfId="0" applyFont="1" applyFill="1" applyBorder="1" applyAlignment="1">
      <alignment vertical="center"/>
    </xf>
    <xf numFmtId="0" fontId="76" fillId="27" borderId="18" xfId="0" applyFont="1" applyFill="1" applyBorder="1" applyAlignment="1">
      <alignment vertical="center" wrapText="1"/>
    </xf>
    <xf numFmtId="0" fontId="76" fillId="0" borderId="0" xfId="0" applyFont="1"/>
    <xf numFmtId="0" fontId="76" fillId="27" borderId="53" xfId="0" applyFont="1" applyFill="1" applyBorder="1" applyAlignment="1">
      <alignment vertical="center"/>
    </xf>
    <xf numFmtId="10" fontId="64" fillId="0" borderId="0" xfId="81" applyNumberFormat="1" applyFont="1"/>
    <xf numFmtId="0" fontId="66" fillId="33" borderId="18" xfId="0" applyFont="1" applyFill="1" applyBorder="1"/>
    <xf numFmtId="0" fontId="64" fillId="0" borderId="18" xfId="0" applyFont="1" applyBorder="1"/>
    <xf numFmtId="10" fontId="64" fillId="0" borderId="18" xfId="81" applyNumberFormat="1" applyFont="1" applyFill="1" applyBorder="1"/>
    <xf numFmtId="0" fontId="64" fillId="27" borderId="18" xfId="0" applyFont="1" applyFill="1" applyBorder="1"/>
    <xf numFmtId="10" fontId="64" fillId="27" borderId="18" xfId="0" applyNumberFormat="1" applyFont="1" applyFill="1" applyBorder="1"/>
    <xf numFmtId="0" fontId="72" fillId="0" borderId="0" xfId="87" applyFont="1" applyAlignment="1">
      <alignment wrapText="1"/>
    </xf>
    <xf numFmtId="0" fontId="72" fillId="0" borderId="0" xfId="87" applyFont="1" applyAlignment="1">
      <alignment horizontal="left"/>
    </xf>
    <xf numFmtId="0" fontId="64" fillId="0" borderId="18" xfId="0" applyFont="1" applyBorder="1" applyAlignment="1">
      <alignment wrapText="1"/>
    </xf>
    <xf numFmtId="0" fontId="78" fillId="0" borderId="52" xfId="0" applyFont="1" applyBorder="1"/>
    <xf numFmtId="0" fontId="83" fillId="0" borderId="18" xfId="0" applyFont="1" applyBorder="1"/>
    <xf numFmtId="0" fontId="76" fillId="0" borderId="18" xfId="0" applyFont="1" applyBorder="1" applyAlignment="1">
      <alignment vertical="center"/>
    </xf>
    <xf numFmtId="0" fontId="76" fillId="0" borderId="18" xfId="0" applyFont="1" applyBorder="1" applyAlignment="1">
      <alignment vertical="center" wrapText="1"/>
    </xf>
    <xf numFmtId="9" fontId="64" fillId="0" borderId="21" xfId="81" applyFont="1" applyFill="1" applyBorder="1"/>
    <xf numFmtId="0" fontId="72" fillId="0" borderId="53" xfId="87" applyFont="1" applyBorder="1" applyAlignment="1">
      <alignment horizontal="left" vertical="top" wrapText="1"/>
    </xf>
    <xf numFmtId="174" fontId="72" fillId="0" borderId="54" xfId="87" applyNumberFormat="1" applyFont="1" applyBorder="1"/>
    <xf numFmtId="0" fontId="74" fillId="0" borderId="34" xfId="87" applyFont="1" applyBorder="1" applyAlignment="1">
      <alignment horizontal="center" vertical="center" wrapText="1"/>
    </xf>
    <xf numFmtId="0" fontId="50" fillId="0" borderId="24" xfId="227" applyFont="1" applyBorder="1" applyAlignment="1">
      <alignment horizontal="center" vertical="center"/>
    </xf>
    <xf numFmtId="0" fontId="50" fillId="0" borderId="52" xfId="227" applyFont="1" applyBorder="1" applyAlignment="1">
      <alignment horizontal="center" vertical="center"/>
    </xf>
    <xf numFmtId="170" fontId="50" fillId="0" borderId="24" xfId="228" applyNumberFormat="1" applyFont="1" applyFill="1" applyBorder="1" applyAlignment="1">
      <alignment horizontal="center" vertical="center"/>
    </xf>
    <xf numFmtId="0" fontId="49" fillId="30" borderId="2" xfId="227" applyFont="1" applyFill="1" applyBorder="1" applyAlignment="1">
      <alignment horizontal="center" vertical="center" wrapText="1"/>
    </xf>
    <xf numFmtId="167" fontId="57" fillId="30" borderId="18" xfId="1" applyNumberFormat="1" applyFont="1" applyFill="1" applyBorder="1" applyAlignment="1" applyProtection="1">
      <alignment horizontal="center" vertical="center"/>
      <protection locked="0"/>
    </xf>
    <xf numFmtId="170" fontId="0" fillId="30" borderId="0" xfId="1" applyNumberFormat="1" applyFont="1" applyFill="1" applyBorder="1" applyAlignment="1">
      <alignment vertical="center"/>
    </xf>
    <xf numFmtId="167" fontId="58" fillId="30" borderId="33" xfId="0" applyNumberFormat="1" applyFont="1" applyFill="1" applyBorder="1" applyAlignment="1" applyProtection="1">
      <alignment vertical="center"/>
      <protection locked="0"/>
    </xf>
    <xf numFmtId="167" fontId="50" fillId="0" borderId="0" xfId="1" applyNumberFormat="1" applyFont="1" applyFill="1" applyBorder="1" applyAlignment="1">
      <alignment horizontal="center" vertical="center"/>
    </xf>
    <xf numFmtId="9" fontId="8" fillId="0" borderId="18" xfId="81" applyFont="1" applyFill="1" applyBorder="1" applyAlignment="1">
      <alignment horizontal="center"/>
    </xf>
    <xf numFmtId="2" fontId="8" fillId="0" borderId="35" xfId="56" applyNumberFormat="1" applyFont="1" applyBorder="1"/>
    <xf numFmtId="164" fontId="50" fillId="27" borderId="52" xfId="222" applyNumberFormat="1" applyFont="1" applyFill="1" applyBorder="1" applyAlignment="1">
      <alignment horizontal="center"/>
    </xf>
    <xf numFmtId="164" fontId="50" fillId="27" borderId="84" xfId="222" applyNumberFormat="1" applyFont="1" applyFill="1" applyBorder="1" applyAlignment="1">
      <alignment horizontal="center"/>
    </xf>
    <xf numFmtId="0" fontId="32" fillId="0" borderId="0" xfId="0" applyFont="1" applyAlignment="1">
      <alignment horizontal="center"/>
    </xf>
    <xf numFmtId="0" fontId="84" fillId="0" borderId="0" xfId="0" applyFont="1"/>
    <xf numFmtId="0" fontId="64" fillId="0" borderId="0" xfId="0" applyFont="1" applyAlignment="1">
      <alignment horizontal="left" indent="7"/>
    </xf>
    <xf numFmtId="10" fontId="64" fillId="0" borderId="0" xfId="81" applyNumberFormat="1" applyFont="1" applyBorder="1"/>
    <xf numFmtId="0" fontId="50" fillId="0" borderId="0" xfId="0" quotePrefix="1" applyFont="1" applyAlignment="1">
      <alignment vertical="top" wrapText="1"/>
    </xf>
    <xf numFmtId="0" fontId="66" fillId="46" borderId="53" xfId="0" applyFont="1" applyFill="1" applyBorder="1" applyAlignment="1">
      <alignment horizontal="center"/>
    </xf>
    <xf numFmtId="0" fontId="78" fillId="44" borderId="83" xfId="0" applyFont="1" applyFill="1" applyBorder="1" applyAlignment="1">
      <alignment horizontal="center" wrapText="1"/>
    </xf>
    <xf numFmtId="0" fontId="78" fillId="48" borderId="55" xfId="0" applyFont="1" applyFill="1" applyBorder="1" applyAlignment="1">
      <alignment horizontal="center" wrapText="1"/>
    </xf>
    <xf numFmtId="0" fontId="78" fillId="0" borderId="0" xfId="0" applyFont="1" applyAlignment="1">
      <alignment horizontal="left"/>
    </xf>
    <xf numFmtId="171" fontId="78" fillId="0" borderId="0" xfId="218" applyNumberFormat="1" applyFont="1" applyFill="1" applyBorder="1" applyAlignment="1"/>
    <xf numFmtId="0" fontId="48" fillId="0" borderId="0" xfId="0" applyFont="1"/>
    <xf numFmtId="10" fontId="55" fillId="39" borderId="29" xfId="225" applyNumberFormat="1" applyFont="1" applyFill="1" applyBorder="1" applyAlignment="1">
      <alignment horizontal="center"/>
    </xf>
    <xf numFmtId="0" fontId="72" fillId="38" borderId="32" xfId="87" applyFont="1" applyFill="1" applyBorder="1" applyAlignment="1">
      <alignment horizontal="center" vertical="center" wrapText="1"/>
    </xf>
    <xf numFmtId="0" fontId="64" fillId="38" borderId="0" xfId="87" applyFont="1" applyFill="1"/>
    <xf numFmtId="10" fontId="72" fillId="38" borderId="18" xfId="230" applyNumberFormat="1" applyFont="1" applyFill="1" applyBorder="1" applyAlignment="1">
      <alignment horizontal="center" vertical="center" wrapText="1"/>
    </xf>
    <xf numFmtId="169" fontId="72" fillId="38" borderId="18" xfId="231" applyNumberFormat="1" applyFont="1" applyFill="1" applyBorder="1" applyAlignment="1">
      <alignment horizontal="center" vertical="center" wrapText="1"/>
    </xf>
    <xf numFmtId="43" fontId="72" fillId="38" borderId="18" xfId="231" applyFont="1" applyFill="1" applyBorder="1" applyAlignment="1">
      <alignment horizontal="center" vertical="center" wrapText="1"/>
    </xf>
    <xf numFmtId="2" fontId="72" fillId="38" borderId="18" xfId="87" applyNumberFormat="1" applyFont="1" applyFill="1" applyBorder="1" applyAlignment="1">
      <alignment horizontal="center" vertical="center"/>
    </xf>
    <xf numFmtId="2" fontId="72" fillId="38" borderId="33" xfId="87" applyNumberFormat="1" applyFont="1" applyFill="1" applyBorder="1" applyAlignment="1">
      <alignment horizontal="center" vertical="center"/>
    </xf>
    <xf numFmtId="2" fontId="72" fillId="38" borderId="32" xfId="87" applyNumberFormat="1" applyFont="1" applyFill="1" applyBorder="1" applyAlignment="1">
      <alignment horizontal="center" vertical="center"/>
    </xf>
    <xf numFmtId="0" fontId="64" fillId="34" borderId="21" xfId="0" applyFont="1" applyFill="1" applyBorder="1"/>
    <xf numFmtId="0" fontId="64" fillId="0" borderId="7" xfId="0" applyFont="1" applyBorder="1"/>
    <xf numFmtId="0" fontId="64" fillId="0" borderId="7" xfId="0" applyFont="1" applyBorder="1" applyAlignment="1">
      <alignment horizontal="left" indent="7"/>
    </xf>
    <xf numFmtId="10" fontId="64" fillId="0" borderId="7" xfId="81" applyNumberFormat="1" applyFont="1" applyFill="1" applyBorder="1"/>
    <xf numFmtId="0" fontId="64" fillId="0" borderId="26" xfId="0" applyFont="1" applyBorder="1"/>
    <xf numFmtId="174" fontId="78" fillId="46" borderId="75" xfId="218" applyNumberFormat="1" applyFont="1" applyFill="1" applyBorder="1" applyAlignment="1">
      <alignment horizontal="center"/>
    </xf>
    <xf numFmtId="171" fontId="78" fillId="46" borderId="61" xfId="218" applyNumberFormat="1" applyFont="1" applyFill="1" applyBorder="1" applyAlignment="1"/>
    <xf numFmtId="0" fontId="85" fillId="0" borderId="52" xfId="0" applyFont="1" applyBorder="1"/>
    <xf numFmtId="0" fontId="50" fillId="0" borderId="0" xfId="227" applyFont="1" applyAlignment="1">
      <alignment horizontal="left" vertical="top" wrapText="1"/>
    </xf>
    <xf numFmtId="170" fontId="50" fillId="0" borderId="0" xfId="227" applyNumberFormat="1" applyFont="1" applyAlignment="1">
      <alignment horizontal="left" vertical="top" wrapText="1"/>
    </xf>
    <xf numFmtId="0" fontId="50" fillId="0" borderId="0" xfId="0" applyFont="1" applyAlignment="1">
      <alignment horizontal="left" vertical="top" wrapText="1"/>
    </xf>
    <xf numFmtId="0" fontId="79" fillId="0" borderId="0" xfId="227" applyFont="1"/>
    <xf numFmtId="170" fontId="49" fillId="0" borderId="0" xfId="227" applyNumberFormat="1" applyFont="1" applyAlignment="1">
      <alignment horizontal="center"/>
    </xf>
    <xf numFmtId="167" fontId="33" fillId="0" borderId="18" xfId="0" applyNumberFormat="1" applyFont="1" applyBorder="1" applyAlignment="1" applyProtection="1">
      <alignment vertical="center"/>
      <protection locked="0"/>
    </xf>
    <xf numFmtId="0" fontId="8" fillId="0" borderId="18" xfId="0" applyFont="1" applyBorder="1" applyAlignment="1" applyProtection="1">
      <alignment horizontal="center" vertical="center"/>
      <protection locked="0"/>
    </xf>
    <xf numFmtId="0" fontId="8" fillId="0" borderId="21" xfId="43" applyFont="1" applyBorder="1" applyAlignment="1">
      <alignment horizontal="center" vertical="center" wrapText="1"/>
    </xf>
    <xf numFmtId="0" fontId="8" fillId="0" borderId="20" xfId="0" applyFont="1" applyBorder="1" applyAlignment="1" applyProtection="1">
      <alignment horizontal="center" vertical="center"/>
      <protection locked="0"/>
    </xf>
    <xf numFmtId="165" fontId="8" fillId="0" borderId="21" xfId="1" applyFont="1" applyFill="1" applyBorder="1" applyAlignment="1" applyProtection="1">
      <alignment horizontal="center" vertical="center" wrapText="1"/>
    </xf>
    <xf numFmtId="167" fontId="8" fillId="0" borderId="21" xfId="1" applyNumberFormat="1" applyFont="1" applyFill="1" applyBorder="1" applyAlignment="1" applyProtection="1">
      <alignment horizontal="center" vertical="center" wrapText="1"/>
      <protection locked="0"/>
    </xf>
    <xf numFmtId="167" fontId="33" fillId="0" borderId="21" xfId="0" applyNumberFormat="1" applyFont="1" applyBorder="1" applyAlignment="1" applyProtection="1">
      <alignment vertical="center"/>
      <protection locked="0"/>
    </xf>
    <xf numFmtId="9" fontId="8" fillId="0" borderId="21" xfId="81" applyFont="1" applyFill="1" applyBorder="1" applyAlignment="1" applyProtection="1">
      <alignment horizontal="center" vertical="center" wrapText="1"/>
    </xf>
    <xf numFmtId="9" fontId="8" fillId="0" borderId="18" xfId="81" applyFont="1" applyFill="1" applyBorder="1" applyAlignment="1" applyProtection="1">
      <alignment horizontal="center" vertical="center" wrapText="1"/>
    </xf>
    <xf numFmtId="0" fontId="9" fillId="0" borderId="46" xfId="220" applyFont="1" applyBorder="1" applyAlignment="1">
      <alignment horizontal="center" vertical="center"/>
    </xf>
    <xf numFmtId="0" fontId="9" fillId="0" borderId="8" xfId="220" applyFont="1" applyBorder="1" applyAlignment="1">
      <alignment horizontal="left" vertical="center"/>
    </xf>
    <xf numFmtId="0" fontId="9" fillId="0" borderId="8" xfId="220" applyFont="1" applyBorder="1" applyAlignment="1">
      <alignment horizontal="center" vertical="center"/>
    </xf>
    <xf numFmtId="0" fontId="33" fillId="0" borderId="71" xfId="220" applyFont="1" applyBorder="1" applyAlignment="1">
      <alignment horizontal="center" vertical="center"/>
    </xf>
    <xf numFmtId="0" fontId="33" fillId="0" borderId="65" xfId="220" applyFont="1" applyBorder="1" applyAlignment="1">
      <alignment horizontal="left" vertical="center"/>
    </xf>
    <xf numFmtId="0" fontId="9" fillId="0" borderId="65" xfId="220" applyFont="1" applyBorder="1" applyAlignment="1">
      <alignment horizontal="center" vertical="center"/>
    </xf>
    <xf numFmtId="0" fontId="86" fillId="0" borderId="0" xfId="220" applyFont="1" applyAlignment="1">
      <alignment horizontal="center" vertical="center"/>
    </xf>
    <xf numFmtId="0" fontId="86" fillId="0" borderId="0" xfId="220" applyFont="1" applyAlignment="1">
      <alignment horizontal="left" vertical="center"/>
    </xf>
    <xf numFmtId="0" fontId="87" fillId="0" borderId="8" xfId="220" applyFont="1" applyBorder="1" applyAlignment="1">
      <alignment horizontal="center" vertical="center"/>
    </xf>
    <xf numFmtId="0" fontId="87" fillId="0" borderId="21" xfId="220" applyFont="1" applyBorder="1" applyAlignment="1">
      <alignment horizontal="left" vertical="center"/>
    </xf>
    <xf numFmtId="170" fontId="8" fillId="24" borderId="33" xfId="0" applyNumberFormat="1" applyFont="1" applyFill="1" applyBorder="1"/>
    <xf numFmtId="170" fontId="50" fillId="27" borderId="0" xfId="222" applyNumberFormat="1" applyFont="1" applyFill="1" applyBorder="1" applyAlignment="1">
      <alignment horizontal="center" vertical="center"/>
    </xf>
    <xf numFmtId="0" fontId="72" fillId="0" borderId="33" xfId="87" applyFont="1" applyBorder="1" applyAlignment="1">
      <alignment horizontal="center" vertical="center"/>
    </xf>
    <xf numFmtId="2" fontId="72" fillId="38" borderId="46" xfId="87" applyNumberFormat="1" applyFont="1" applyFill="1" applyBorder="1" applyAlignment="1">
      <alignment horizontal="center" vertical="center"/>
    </xf>
    <xf numFmtId="0" fontId="0" fillId="26" borderId="0" xfId="0" applyFill="1"/>
    <xf numFmtId="0" fontId="72" fillId="0" borderId="57" xfId="87" applyFont="1" applyBorder="1" applyAlignment="1">
      <alignment horizontal="center" vertical="center" wrapText="1"/>
    </xf>
    <xf numFmtId="2" fontId="72" fillId="0" borderId="27" xfId="87" applyNumberFormat="1" applyFont="1" applyBorder="1" applyAlignment="1">
      <alignment horizontal="center" vertical="center"/>
    </xf>
    <xf numFmtId="2" fontId="72" fillId="0" borderId="64" xfId="87" applyNumberFormat="1" applyFont="1" applyBorder="1" applyAlignment="1">
      <alignment horizontal="center" vertical="center"/>
    </xf>
    <xf numFmtId="0" fontId="88" fillId="0" borderId="0" xfId="0" applyFont="1"/>
    <xf numFmtId="0" fontId="0" fillId="26" borderId="0" xfId="0" applyFill="1" applyAlignment="1">
      <alignment horizontal="right"/>
    </xf>
    <xf numFmtId="0" fontId="76" fillId="0" borderId="54" xfId="0" applyFont="1" applyBorder="1" applyAlignment="1">
      <alignment vertical="top" wrapText="1"/>
    </xf>
    <xf numFmtId="170" fontId="50" fillId="0" borderId="52" xfId="227" applyNumberFormat="1" applyFont="1" applyBorder="1" applyAlignment="1">
      <alignment horizontal="center" vertical="center"/>
    </xf>
    <xf numFmtId="0" fontId="50" fillId="0" borderId="0" xfId="228" applyNumberFormat="1" applyFont="1" applyFill="1" applyBorder="1" applyAlignment="1">
      <alignment horizontal="center" vertical="center"/>
    </xf>
    <xf numFmtId="10" fontId="8" fillId="0" borderId="31" xfId="81" applyNumberFormat="1" applyFont="1" applyBorder="1" applyAlignment="1">
      <alignment horizontal="center"/>
    </xf>
    <xf numFmtId="166" fontId="32" fillId="0" borderId="35" xfId="87" applyNumberFormat="1" applyFont="1" applyBorder="1" applyAlignment="1">
      <alignment horizontal="center" vertical="center"/>
    </xf>
    <xf numFmtId="0" fontId="50" fillId="27" borderId="53" xfId="220" applyFont="1" applyFill="1" applyBorder="1" applyAlignment="1">
      <alignment horizontal="center" vertical="center"/>
    </xf>
    <xf numFmtId="0" fontId="50" fillId="27" borderId="83" xfId="220" applyFont="1" applyFill="1" applyBorder="1" applyAlignment="1">
      <alignment horizontal="left" vertical="center"/>
    </xf>
    <xf numFmtId="0" fontId="50" fillId="27" borderId="83" xfId="220" applyFont="1" applyFill="1" applyBorder="1" applyAlignment="1">
      <alignment horizontal="center" vertical="center"/>
    </xf>
    <xf numFmtId="9" fontId="50" fillId="27" borderId="83" xfId="221" applyFont="1" applyFill="1" applyBorder="1" applyAlignment="1">
      <alignment horizontal="center" vertical="center"/>
    </xf>
    <xf numFmtId="170" fontId="50" fillId="27" borderId="83" xfId="222" applyNumberFormat="1" applyFont="1" applyFill="1" applyBorder="1" applyAlignment="1">
      <alignment horizontal="center"/>
    </xf>
    <xf numFmtId="170" fontId="50" fillId="27" borderId="54" xfId="222" applyNumberFormat="1" applyFont="1" applyFill="1" applyBorder="1" applyAlignment="1">
      <alignment horizontal="center"/>
    </xf>
    <xf numFmtId="10" fontId="89" fillId="0" borderId="7" xfId="81" applyNumberFormat="1" applyFont="1" applyFill="1" applyBorder="1" applyAlignment="1">
      <alignment horizontal="center" vertical="center"/>
    </xf>
    <xf numFmtId="0" fontId="89" fillId="0" borderId="26" xfId="0" applyFont="1" applyBorder="1" applyAlignment="1">
      <alignment horizontal="center" vertical="center"/>
    </xf>
    <xf numFmtId="9" fontId="90" fillId="0" borderId="18" xfId="81" applyFont="1" applyBorder="1" applyAlignment="1">
      <alignment horizontal="center"/>
    </xf>
    <xf numFmtId="9" fontId="91" fillId="0" borderId="18" xfId="81" applyFont="1" applyFill="1" applyBorder="1" applyAlignment="1">
      <alignment horizontal="center"/>
    </xf>
    <xf numFmtId="9" fontId="91" fillId="0" borderId="18" xfId="81" applyFont="1" applyBorder="1" applyAlignment="1">
      <alignment horizontal="center"/>
    </xf>
    <xf numFmtId="0" fontId="64" fillId="0" borderId="0" xfId="0" applyFont="1" applyAlignment="1">
      <alignment wrapText="1"/>
    </xf>
    <xf numFmtId="0" fontId="92" fillId="34" borderId="32" xfId="0" applyFont="1" applyFill="1" applyBorder="1"/>
    <xf numFmtId="165" fontId="92" fillId="34" borderId="33" xfId="1" applyFont="1" applyFill="1" applyBorder="1"/>
    <xf numFmtId="0" fontId="91" fillId="34" borderId="25" xfId="0" applyFont="1" applyFill="1" applyBorder="1"/>
    <xf numFmtId="167" fontId="91" fillId="41" borderId="50" xfId="1" applyNumberFormat="1" applyFont="1" applyFill="1" applyBorder="1"/>
    <xf numFmtId="0" fontId="87" fillId="0" borderId="41" xfId="220" applyFont="1" applyBorder="1" applyAlignment="1">
      <alignment horizontal="center" vertical="center"/>
    </xf>
    <xf numFmtId="0" fontId="94" fillId="44" borderId="0" xfId="0" applyFont="1" applyFill="1" applyAlignment="1">
      <alignment horizontal="left" wrapText="1"/>
    </xf>
    <xf numFmtId="171" fontId="94" fillId="45" borderId="0" xfId="0" applyNumberFormat="1" applyFont="1" applyFill="1" applyAlignment="1">
      <alignment horizontal="left"/>
    </xf>
    <xf numFmtId="170" fontId="0" fillId="0" borderId="0" xfId="1" applyNumberFormat="1" applyFont="1" applyFill="1"/>
    <xf numFmtId="0" fontId="66" fillId="27" borderId="30" xfId="0" applyFont="1" applyFill="1" applyBorder="1" applyAlignment="1">
      <alignment horizontal="left" indent="2"/>
    </xf>
    <xf numFmtId="170" fontId="81" fillId="27" borderId="31" xfId="1" applyNumberFormat="1" applyFont="1" applyFill="1" applyBorder="1" applyAlignment="1">
      <alignment horizontal="center" vertical="center"/>
    </xf>
    <xf numFmtId="170" fontId="81" fillId="27" borderId="62" xfId="1" applyNumberFormat="1" applyFont="1" applyFill="1" applyBorder="1" applyAlignment="1">
      <alignment horizontal="center" vertical="center"/>
    </xf>
    <xf numFmtId="0" fontId="66" fillId="27" borderId="32" xfId="0" applyFont="1" applyFill="1" applyBorder="1" applyAlignment="1">
      <alignment horizontal="left" indent="2"/>
    </xf>
    <xf numFmtId="170" fontId="81" fillId="27" borderId="33" xfId="1" applyNumberFormat="1" applyFont="1" applyFill="1" applyBorder="1" applyAlignment="1">
      <alignment horizontal="center" vertical="center"/>
    </xf>
    <xf numFmtId="0" fontId="66" fillId="27" borderId="34" xfId="0" applyFont="1" applyFill="1" applyBorder="1" applyAlignment="1">
      <alignment horizontal="left" indent="2"/>
    </xf>
    <xf numFmtId="170" fontId="81" fillId="27" borderId="63" xfId="1" applyNumberFormat="1" applyFont="1" applyFill="1" applyBorder="1" applyAlignment="1">
      <alignment horizontal="center" vertical="center"/>
    </xf>
    <xf numFmtId="0" fontId="91" fillId="34" borderId="51" xfId="0" applyFont="1" applyFill="1" applyBorder="1"/>
    <xf numFmtId="167" fontId="91" fillId="41" borderId="84" xfId="1" applyNumberFormat="1" applyFont="1" applyFill="1" applyBorder="1"/>
    <xf numFmtId="9" fontId="72" fillId="0" borderId="3" xfId="81" applyFont="1" applyBorder="1"/>
    <xf numFmtId="9" fontId="72" fillId="0" borderId="26" xfId="81" applyFont="1" applyBorder="1"/>
    <xf numFmtId="0" fontId="72" fillId="0" borderId="29" xfId="75" applyFont="1" applyBorder="1"/>
    <xf numFmtId="0" fontId="72" fillId="0" borderId="44" xfId="75" applyFont="1" applyBorder="1"/>
    <xf numFmtId="0" fontId="50" fillId="0" borderId="24" xfId="227" applyFont="1" applyBorder="1" applyAlignment="1">
      <alignment horizontal="left" vertical="center" wrapText="1"/>
    </xf>
    <xf numFmtId="0" fontId="53" fillId="27" borderId="0" xfId="227" applyFont="1" applyFill="1" applyAlignment="1">
      <alignment horizontal="center" vertical="center"/>
    </xf>
    <xf numFmtId="0" fontId="53" fillId="0" borderId="0" xfId="227" applyFont="1" applyAlignment="1">
      <alignment horizontal="center" vertical="center"/>
    </xf>
    <xf numFmtId="172" fontId="50" fillId="27" borderId="0" xfId="227" applyNumberFormat="1" applyFont="1" applyFill="1" applyAlignment="1">
      <alignment horizontal="center" vertical="center"/>
    </xf>
    <xf numFmtId="0" fontId="53" fillId="27" borderId="0" xfId="227" applyFont="1" applyFill="1" applyAlignment="1">
      <alignment horizontal="left" vertical="center" wrapText="1"/>
    </xf>
    <xf numFmtId="0" fontId="53" fillId="27" borderId="0" xfId="227" applyFont="1" applyFill="1" applyAlignment="1">
      <alignment horizontal="center" vertical="center" wrapText="1"/>
    </xf>
    <xf numFmtId="170" fontId="53" fillId="27" borderId="0" xfId="227" applyNumberFormat="1" applyFont="1" applyFill="1" applyAlignment="1">
      <alignment horizontal="center" vertical="center" wrapText="1"/>
    </xf>
    <xf numFmtId="170" fontId="50" fillId="27" borderId="0" xfId="227" applyNumberFormat="1" applyFont="1" applyFill="1"/>
    <xf numFmtId="0" fontId="87" fillId="0" borderId="41" xfId="220" applyFont="1" applyBorder="1" applyAlignment="1">
      <alignment horizontal="left" vertical="center"/>
    </xf>
    <xf numFmtId="0" fontId="0" fillId="25" borderId="76" xfId="0" applyFill="1" applyBorder="1"/>
    <xf numFmtId="0" fontId="0" fillId="25" borderId="77" xfId="0" applyFill="1" applyBorder="1"/>
    <xf numFmtId="0" fontId="32" fillId="25" borderId="77" xfId="0" applyFont="1" applyFill="1" applyBorder="1" applyAlignment="1">
      <alignment horizontal="right"/>
    </xf>
    <xf numFmtId="0" fontId="0" fillId="25" borderId="92" xfId="0" applyFill="1" applyBorder="1"/>
    <xf numFmtId="170" fontId="0" fillId="25" borderId="77" xfId="0" applyNumberFormat="1" applyFill="1" applyBorder="1"/>
    <xf numFmtId="167" fontId="34" fillId="25" borderId="93" xfId="1" applyNumberFormat="1" applyFont="1" applyFill="1" applyBorder="1"/>
    <xf numFmtId="170" fontId="54" fillId="0" borderId="0" xfId="81" applyNumberFormat="1" applyFont="1" applyBorder="1" applyAlignment="1">
      <alignment horizontal="center"/>
    </xf>
    <xf numFmtId="0" fontId="82" fillId="27" borderId="53" xfId="0" applyFont="1" applyFill="1" applyBorder="1" applyAlignment="1">
      <alignment horizontal="center"/>
    </xf>
    <xf numFmtId="0" fontId="82" fillId="27" borderId="54" xfId="0" applyFont="1" applyFill="1" applyBorder="1" applyAlignment="1">
      <alignment horizontal="center"/>
    </xf>
    <xf numFmtId="0" fontId="64" fillId="0" borderId="44" xfId="0" applyFont="1" applyBorder="1" applyAlignment="1">
      <alignment horizontal="left" vertical="top" wrapText="1"/>
    </xf>
    <xf numFmtId="0" fontId="64" fillId="0" borderId="26" xfId="0" applyFont="1" applyBorder="1" applyAlignment="1">
      <alignment horizontal="left" vertical="top" wrapText="1"/>
    </xf>
    <xf numFmtId="0" fontId="64" fillId="0" borderId="0" xfId="0" applyFont="1" applyAlignment="1">
      <alignment horizontal="center"/>
    </xf>
    <xf numFmtId="0" fontId="89" fillId="30" borderId="20" xfId="0" applyFont="1" applyFill="1" applyBorder="1" applyAlignment="1">
      <alignment horizontal="center" vertical="center"/>
    </xf>
    <xf numFmtId="0" fontId="89" fillId="30" borderId="21" xfId="0" applyFont="1" applyFill="1" applyBorder="1" applyAlignment="1">
      <alignment horizontal="center" vertical="center"/>
    </xf>
    <xf numFmtId="0" fontId="78" fillId="0" borderId="52" xfId="0" applyFont="1" applyBorder="1" applyAlignment="1">
      <alignment horizontal="left"/>
    </xf>
    <xf numFmtId="0" fontId="93" fillId="0" borderId="0" xfId="0" applyFont="1" applyAlignment="1">
      <alignment horizontal="left"/>
    </xf>
    <xf numFmtId="8" fontId="65" fillId="43" borderId="0" xfId="0" applyNumberFormat="1" applyFont="1" applyFill="1" applyAlignment="1">
      <alignment horizontal="center" vertical="center" wrapText="1"/>
    </xf>
    <xf numFmtId="8" fontId="65" fillId="43" borderId="3" xfId="0" applyNumberFormat="1" applyFont="1" applyFill="1" applyBorder="1" applyAlignment="1">
      <alignment horizontal="center" vertical="center" wrapText="1"/>
    </xf>
    <xf numFmtId="0" fontId="65" fillId="43" borderId="0" xfId="0" applyFont="1" applyFill="1" applyAlignment="1">
      <alignment horizontal="center" vertical="center" wrapText="1"/>
    </xf>
    <xf numFmtId="0" fontId="65" fillId="43" borderId="3" xfId="0" applyFont="1" applyFill="1" applyBorder="1" applyAlignment="1">
      <alignment horizontal="center" vertical="center" wrapText="1"/>
    </xf>
    <xf numFmtId="0" fontId="66" fillId="32" borderId="40" xfId="0" applyFont="1" applyFill="1" applyBorder="1" applyAlignment="1">
      <alignment horizontal="center"/>
    </xf>
    <xf numFmtId="0" fontId="66" fillId="32" borderId="41" xfId="0" applyFont="1" applyFill="1" applyBorder="1" applyAlignment="1">
      <alignment horizontal="center"/>
    </xf>
    <xf numFmtId="0" fontId="66" fillId="32" borderId="59" xfId="0" applyFont="1" applyFill="1" applyBorder="1" applyAlignment="1">
      <alignment horizontal="center"/>
    </xf>
    <xf numFmtId="0" fontId="66" fillId="32" borderId="44" xfId="0" applyFont="1" applyFill="1" applyBorder="1" applyAlignment="1">
      <alignment horizontal="center"/>
    </xf>
    <xf numFmtId="0" fontId="66" fillId="32" borderId="7" xfId="0" applyFont="1" applyFill="1" applyBorder="1" applyAlignment="1">
      <alignment horizontal="center"/>
    </xf>
    <xf numFmtId="0" fontId="66" fillId="32" borderId="26" xfId="0" applyFont="1" applyFill="1" applyBorder="1" applyAlignment="1">
      <alignment horizontal="center"/>
    </xf>
    <xf numFmtId="8" fontId="65" fillId="43" borderId="8" xfId="0" applyNumberFormat="1" applyFont="1" applyFill="1" applyBorder="1" applyAlignment="1">
      <alignment horizontal="center" vertical="center" wrapText="1"/>
    </xf>
    <xf numFmtId="8" fontId="65" fillId="43" borderId="21" xfId="0" applyNumberFormat="1" applyFont="1" applyFill="1" applyBorder="1" applyAlignment="1">
      <alignment horizontal="center" vertical="center" wrapText="1"/>
    </xf>
    <xf numFmtId="0" fontId="74" fillId="32" borderId="40" xfId="0" applyFont="1" applyFill="1" applyBorder="1" applyAlignment="1">
      <alignment horizontal="center" vertical="center" wrapText="1"/>
    </xf>
    <xf numFmtId="0" fontId="74" fillId="32" borderId="41" xfId="0" applyFont="1" applyFill="1" applyBorder="1" applyAlignment="1">
      <alignment horizontal="center" vertical="center" wrapText="1"/>
    </xf>
    <xf numFmtId="0" fontId="74" fillId="32" borderId="59" xfId="0" applyFont="1" applyFill="1" applyBorder="1" applyAlignment="1">
      <alignment horizontal="center" vertical="center" wrapText="1"/>
    </xf>
    <xf numFmtId="0" fontId="74" fillId="32" borderId="44" xfId="0" applyFont="1" applyFill="1" applyBorder="1" applyAlignment="1">
      <alignment horizontal="center" vertical="center" wrapText="1"/>
    </xf>
    <xf numFmtId="0" fontId="74" fillId="32" borderId="7" xfId="0" applyFont="1" applyFill="1" applyBorder="1" applyAlignment="1">
      <alignment horizontal="center" vertical="center" wrapText="1"/>
    </xf>
    <xf numFmtId="0" fontId="74" fillId="32" borderId="26" xfId="0" applyFont="1" applyFill="1" applyBorder="1" applyAlignment="1">
      <alignment horizontal="center" vertical="center" wrapText="1"/>
    </xf>
    <xf numFmtId="0" fontId="67" fillId="43" borderId="44" xfId="0" applyFont="1" applyFill="1" applyBorder="1" applyAlignment="1">
      <alignment horizontal="center" vertical="center" wrapText="1"/>
    </xf>
    <xf numFmtId="0" fontId="67" fillId="43" borderId="7" xfId="0" applyFont="1" applyFill="1" applyBorder="1" applyAlignment="1">
      <alignment horizontal="center" vertical="center" wrapText="1"/>
    </xf>
    <xf numFmtId="0" fontId="67" fillId="43" borderId="26" xfId="0" applyFont="1" applyFill="1" applyBorder="1" applyAlignment="1">
      <alignment horizontal="center" vertical="center" wrapText="1"/>
    </xf>
    <xf numFmtId="0" fontId="65" fillId="43" borderId="29" xfId="0" applyFont="1" applyFill="1" applyBorder="1" applyAlignment="1">
      <alignment horizontal="center" vertical="center" wrapText="1"/>
    </xf>
    <xf numFmtId="0" fontId="49" fillId="32" borderId="76" xfId="227" applyFont="1" applyFill="1" applyBorder="1" applyAlignment="1">
      <alignment horizontal="center" vertical="center"/>
    </xf>
    <xf numFmtId="0" fontId="49" fillId="32" borderId="85" xfId="227" applyFont="1" applyFill="1" applyBorder="1" applyAlignment="1">
      <alignment horizontal="center" vertical="center"/>
    </xf>
    <xf numFmtId="0" fontId="49" fillId="30" borderId="42" xfId="227" applyFont="1" applyFill="1" applyBorder="1" applyAlignment="1">
      <alignment horizontal="center" vertical="center" wrapText="1"/>
    </xf>
    <xf numFmtId="0" fontId="49" fillId="30" borderId="47" xfId="227" applyFont="1" applyFill="1" applyBorder="1" applyAlignment="1">
      <alignment horizontal="center" vertical="center" wrapText="1"/>
    </xf>
    <xf numFmtId="0" fontId="49" fillId="32" borderId="77" xfId="227" applyFont="1" applyFill="1" applyBorder="1" applyAlignment="1">
      <alignment horizontal="center" vertical="center"/>
    </xf>
    <xf numFmtId="0" fontId="49" fillId="30" borderId="42" xfId="227" applyFont="1" applyFill="1" applyBorder="1" applyAlignment="1">
      <alignment horizontal="center" vertical="center"/>
    </xf>
    <xf numFmtId="0" fontId="49" fillId="30" borderId="43" xfId="227" applyFont="1" applyFill="1" applyBorder="1" applyAlignment="1">
      <alignment horizontal="center" vertical="center"/>
    </xf>
    <xf numFmtId="0" fontId="49" fillId="30" borderId="87" xfId="227" applyFont="1" applyFill="1" applyBorder="1" applyAlignment="1">
      <alignment horizontal="center" vertical="center" wrapText="1"/>
    </xf>
    <xf numFmtId="0" fontId="49" fillId="30" borderId="83" xfId="227" applyFont="1" applyFill="1" applyBorder="1" applyAlignment="1">
      <alignment horizontal="center" vertical="center" wrapText="1"/>
    </xf>
    <xf numFmtId="0" fontId="49" fillId="30" borderId="24" xfId="227" applyFont="1" applyFill="1" applyBorder="1" applyAlignment="1">
      <alignment horizontal="center" vertical="center"/>
    </xf>
    <xf numFmtId="0" fontId="49" fillId="30" borderId="23" xfId="227" applyFont="1" applyFill="1" applyBorder="1" applyAlignment="1">
      <alignment horizontal="center" vertical="center"/>
    </xf>
    <xf numFmtId="0" fontId="49" fillId="32" borderId="23" xfId="227" applyFont="1" applyFill="1" applyBorder="1" applyAlignment="1">
      <alignment horizontal="center" vertical="center"/>
    </xf>
    <xf numFmtId="0" fontId="49" fillId="32" borderId="25" xfId="227" applyFont="1" applyFill="1" applyBorder="1" applyAlignment="1">
      <alignment horizontal="center" vertical="center"/>
    </xf>
    <xf numFmtId="0" fontId="49" fillId="32" borderId="51" xfId="227" applyFont="1" applyFill="1" applyBorder="1" applyAlignment="1">
      <alignment horizontal="center" vertical="center"/>
    </xf>
    <xf numFmtId="0" fontId="49" fillId="30" borderId="87" xfId="227" applyFont="1" applyFill="1" applyBorder="1" applyAlignment="1">
      <alignment horizontal="center" vertical="center"/>
    </xf>
    <xf numFmtId="0" fontId="49" fillId="30" borderId="83" xfId="227" applyFont="1" applyFill="1" applyBorder="1" applyAlignment="1">
      <alignment horizontal="center" vertical="center"/>
    </xf>
    <xf numFmtId="0" fontId="49" fillId="30" borderId="86" xfId="227" applyFont="1" applyFill="1" applyBorder="1" applyAlignment="1">
      <alignment horizontal="center" vertical="center"/>
    </xf>
    <xf numFmtId="0" fontId="74" fillId="0" borderId="30" xfId="75" applyFont="1" applyBorder="1" applyAlignment="1">
      <alignment horizontal="center" vertical="center"/>
    </xf>
    <xf numFmtId="0" fontId="74" fillId="0" borderId="31" xfId="75" applyFont="1" applyBorder="1" applyAlignment="1">
      <alignment horizontal="center" vertical="center"/>
    </xf>
    <xf numFmtId="0" fontId="74" fillId="0" borderId="62" xfId="75" applyFont="1" applyBorder="1" applyAlignment="1">
      <alignment horizontal="center" vertical="center"/>
    </xf>
    <xf numFmtId="2" fontId="74" fillId="30" borderId="57" xfId="87" applyNumberFormat="1" applyFont="1" applyFill="1" applyBorder="1" applyAlignment="1">
      <alignment horizontal="center" vertical="center" wrapText="1"/>
    </xf>
    <xf numFmtId="2" fontId="74" fillId="30" borderId="64" xfId="87" applyNumberFormat="1" applyFont="1" applyFill="1" applyBorder="1" applyAlignment="1">
      <alignment horizontal="center" vertical="center" wrapText="1"/>
    </xf>
    <xf numFmtId="0" fontId="66" fillId="38" borderId="53" xfId="87" applyFont="1" applyFill="1" applyBorder="1" applyAlignment="1">
      <alignment horizontal="center" vertical="center"/>
    </xf>
    <xf numFmtId="0" fontId="66" fillId="38" borderId="83" xfId="87" applyFont="1" applyFill="1" applyBorder="1" applyAlignment="1">
      <alignment horizontal="center" vertical="center"/>
    </xf>
    <xf numFmtId="0" fontId="66" fillId="38" borderId="54" xfId="87" applyFont="1" applyFill="1" applyBorder="1" applyAlignment="1">
      <alignment horizontal="center" vertical="center"/>
    </xf>
    <xf numFmtId="2" fontId="74" fillId="0" borderId="91" xfId="87" applyNumberFormat="1" applyFont="1" applyBorder="1" applyAlignment="1">
      <alignment horizontal="center" vertical="center" wrapText="1"/>
    </xf>
    <xf numFmtId="2" fontId="74" fillId="0" borderId="90" xfId="87" applyNumberFormat="1" applyFont="1" applyBorder="1" applyAlignment="1">
      <alignment horizontal="center" vertical="center" wrapText="1"/>
    </xf>
    <xf numFmtId="0" fontId="50" fillId="24" borderId="65" xfId="220" applyFont="1" applyFill="1" applyBorder="1" applyAlignment="1">
      <alignment horizontal="center"/>
    </xf>
    <xf numFmtId="0" fontId="49" fillId="30" borderId="53" xfId="220" applyFont="1" applyFill="1" applyBorder="1" applyAlignment="1">
      <alignment horizontal="center" vertical="center"/>
    </xf>
    <xf numFmtId="0" fontId="49" fillId="30" borderId="86" xfId="220" applyFont="1" applyFill="1" applyBorder="1" applyAlignment="1">
      <alignment horizontal="center" vertical="center"/>
    </xf>
    <xf numFmtId="0" fontId="49" fillId="30" borderId="87" xfId="220" applyFont="1" applyFill="1" applyBorder="1" applyAlignment="1">
      <alignment horizontal="center" vertical="center"/>
    </xf>
    <xf numFmtId="0" fontId="49" fillId="0" borderId="0" xfId="220" applyFont="1" applyAlignment="1">
      <alignment horizontal="center" vertical="center"/>
    </xf>
    <xf numFmtId="0" fontId="50" fillId="24" borderId="0" xfId="220" applyFont="1" applyFill="1" applyAlignment="1">
      <alignment horizontal="center"/>
    </xf>
    <xf numFmtId="0" fontId="32" fillId="0" borderId="25" xfId="0" applyFont="1" applyBorder="1" applyAlignment="1">
      <alignment horizontal="left" vertical="top" wrapText="1"/>
    </xf>
    <xf numFmtId="0" fontId="32" fillId="0" borderId="0" xfId="0" applyFont="1" applyAlignment="1">
      <alignment horizontal="left" vertical="top" wrapText="1"/>
    </xf>
    <xf numFmtId="0" fontId="35" fillId="26" borderId="5" xfId="0" applyFont="1" applyFill="1" applyBorder="1" applyAlignment="1">
      <alignment horizontal="center" vertical="top" wrapText="1"/>
    </xf>
    <xf numFmtId="0" fontId="35" fillId="26" borderId="6" xfId="0" applyFont="1" applyFill="1" applyBorder="1" applyAlignment="1">
      <alignment horizontal="center" vertical="top" wrapText="1"/>
    </xf>
    <xf numFmtId="0" fontId="12" fillId="26" borderId="18" xfId="0" applyFont="1" applyFill="1" applyBorder="1" applyAlignment="1">
      <alignment horizontal="center" vertical="center" wrapText="1"/>
    </xf>
    <xf numFmtId="0" fontId="12" fillId="26" borderId="35" xfId="0" applyFont="1" applyFill="1" applyBorder="1" applyAlignment="1">
      <alignment horizontal="center" vertical="center" wrapText="1"/>
    </xf>
    <xf numFmtId="0" fontId="35" fillId="26" borderId="29" xfId="0" applyFont="1" applyFill="1" applyBorder="1" applyAlignment="1">
      <alignment horizontal="center"/>
    </xf>
    <xf numFmtId="0" fontId="35" fillId="26" borderId="3" xfId="0" applyFont="1" applyFill="1" applyBorder="1" applyAlignment="1">
      <alignment horizontal="center"/>
    </xf>
    <xf numFmtId="0" fontId="35" fillId="26" borderId="5" xfId="0" applyFont="1" applyFill="1" applyBorder="1" applyAlignment="1">
      <alignment horizontal="center" vertical="top"/>
    </xf>
    <xf numFmtId="0" fontId="35" fillId="26" borderId="22" xfId="0" applyFont="1" applyFill="1" applyBorder="1" applyAlignment="1">
      <alignment horizontal="center" vertical="top" wrapText="1"/>
    </xf>
    <xf numFmtId="165" fontId="12" fillId="26" borderId="37" xfId="0" applyNumberFormat="1" applyFont="1" applyFill="1" applyBorder="1" applyAlignment="1">
      <alignment horizontal="center" vertical="center" wrapText="1"/>
    </xf>
    <xf numFmtId="165" fontId="12" fillId="26" borderId="40" xfId="0" applyNumberFormat="1" applyFont="1" applyFill="1" applyBorder="1" applyAlignment="1">
      <alignment horizontal="center" vertical="center" wrapText="1"/>
    </xf>
    <xf numFmtId="0" fontId="10" fillId="0" borderId="0" xfId="0" applyFont="1" applyAlignment="1">
      <alignment horizontal="center"/>
    </xf>
    <xf numFmtId="165" fontId="12" fillId="26" borderId="2" xfId="0" applyNumberFormat="1" applyFont="1" applyFill="1" applyBorder="1" applyAlignment="1">
      <alignment horizontal="center" vertical="center" wrapText="1"/>
    </xf>
    <xf numFmtId="165" fontId="12" fillId="26" borderId="5" xfId="0" applyNumberFormat="1" applyFont="1" applyFill="1" applyBorder="1" applyAlignment="1">
      <alignment horizontal="center" vertical="center" wrapText="1"/>
    </xf>
    <xf numFmtId="165" fontId="12" fillId="26" borderId="6" xfId="0" applyNumberFormat="1" applyFont="1" applyFill="1" applyBorder="1" applyAlignment="1">
      <alignment horizontal="center" vertical="center" wrapText="1"/>
    </xf>
    <xf numFmtId="0" fontId="12" fillId="26" borderId="30" xfId="0" applyFont="1" applyFill="1" applyBorder="1" applyAlignment="1">
      <alignment horizontal="center" vertical="center" wrapText="1"/>
    </xf>
    <xf numFmtId="0" fontId="12" fillId="26" borderId="32" xfId="0" applyFont="1" applyFill="1" applyBorder="1" applyAlignment="1">
      <alignment horizontal="center" vertical="center" wrapText="1"/>
    </xf>
    <xf numFmtId="0" fontId="12" fillId="26" borderId="34" xfId="0" applyFont="1" applyFill="1" applyBorder="1" applyAlignment="1">
      <alignment horizontal="center" vertical="center" wrapText="1"/>
    </xf>
    <xf numFmtId="0" fontId="12" fillId="26" borderId="31" xfId="0" applyFont="1" applyFill="1" applyBorder="1" applyAlignment="1">
      <alignment horizontal="center" vertical="center" wrapText="1"/>
    </xf>
    <xf numFmtId="165" fontId="12" fillId="26" borderId="31" xfId="0" applyNumberFormat="1" applyFont="1" applyFill="1" applyBorder="1" applyAlignment="1">
      <alignment horizontal="center" vertical="center" wrapText="1"/>
    </xf>
    <xf numFmtId="165" fontId="12" fillId="26" borderId="38" xfId="0" applyNumberFormat="1" applyFont="1" applyFill="1" applyBorder="1" applyAlignment="1">
      <alignment horizontal="center" vertical="center" wrapText="1"/>
    </xf>
    <xf numFmtId="0" fontId="49" fillId="0" borderId="0" xfId="220" applyFont="1" applyAlignment="1">
      <alignment horizontal="center" vertical="center" wrapText="1"/>
    </xf>
    <xf numFmtId="165" fontId="50" fillId="24" borderId="0" xfId="1" applyFont="1" applyFill="1" applyBorder="1" applyAlignment="1">
      <alignment horizontal="center" vertical="center"/>
    </xf>
    <xf numFmtId="165" fontId="50" fillId="0" borderId="0" xfId="220" applyNumberFormat="1" applyFont="1" applyAlignment="1">
      <alignment horizontal="center" vertical="center"/>
    </xf>
    <xf numFmtId="0" fontId="49" fillId="30" borderId="87" xfId="220" applyFont="1" applyFill="1" applyBorder="1" applyAlignment="1">
      <alignment horizontal="center" vertical="center" wrapText="1"/>
    </xf>
    <xf numFmtId="0" fontId="49" fillId="30" borderId="83" xfId="220" applyFont="1" applyFill="1" applyBorder="1" applyAlignment="1">
      <alignment horizontal="center" vertical="center" wrapText="1"/>
    </xf>
    <xf numFmtId="0" fontId="49" fillId="30" borderId="54" xfId="220" applyFont="1" applyFill="1" applyBorder="1" applyAlignment="1">
      <alignment horizontal="center" vertical="center" wrapText="1"/>
    </xf>
    <xf numFmtId="165" fontId="12" fillId="26" borderId="62" xfId="0" applyNumberFormat="1" applyFont="1" applyFill="1" applyBorder="1" applyAlignment="1">
      <alignment horizontal="center" vertical="center" wrapText="1"/>
    </xf>
    <xf numFmtId="165" fontId="12" fillId="26" borderId="68" xfId="0" applyNumberFormat="1" applyFont="1" applyFill="1" applyBorder="1" applyAlignment="1">
      <alignment horizontal="center" vertical="center" wrapText="1"/>
    </xf>
    <xf numFmtId="0" fontId="35" fillId="26" borderId="5" xfId="0" applyFont="1" applyFill="1" applyBorder="1" applyAlignment="1">
      <alignment horizontal="center" wrapText="1"/>
    </xf>
    <xf numFmtId="165" fontId="50" fillId="24" borderId="65" xfId="1" applyFont="1" applyFill="1" applyBorder="1" applyAlignment="1">
      <alignment horizontal="center" vertical="center"/>
    </xf>
    <xf numFmtId="165" fontId="50" fillId="24" borderId="0" xfId="1" applyFont="1" applyFill="1" applyAlignment="1">
      <alignment horizontal="center" vertical="center"/>
    </xf>
    <xf numFmtId="167" fontId="81" fillId="32" borderId="47" xfId="1" applyNumberFormat="1" applyFont="1" applyFill="1" applyBorder="1" applyAlignment="1">
      <alignment horizontal="center" vertical="center" wrapText="1"/>
    </xf>
    <xf numFmtId="167" fontId="81" fillId="32" borderId="50" xfId="1" applyNumberFormat="1" applyFont="1" applyFill="1" applyBorder="1" applyAlignment="1">
      <alignment horizontal="center" vertical="center" wrapText="1"/>
    </xf>
    <xf numFmtId="14" fontId="80" fillId="32" borderId="23" xfId="0" applyNumberFormat="1" applyFont="1" applyFill="1" applyBorder="1" applyAlignment="1">
      <alignment horizontal="left" vertical="center" wrapText="1"/>
    </xf>
    <xf numFmtId="14" fontId="80" fillId="32" borderId="25" xfId="0" applyNumberFormat="1" applyFont="1" applyFill="1" applyBorder="1" applyAlignment="1">
      <alignment horizontal="left" vertical="center"/>
    </xf>
    <xf numFmtId="167" fontId="81" fillId="32" borderId="24" xfId="1" applyNumberFormat="1" applyFont="1" applyFill="1" applyBorder="1" applyAlignment="1">
      <alignment horizontal="center" vertical="center" wrapText="1"/>
    </xf>
    <xf numFmtId="167" fontId="81" fillId="32" borderId="0" xfId="1" applyNumberFormat="1" applyFont="1" applyFill="1" applyBorder="1" applyAlignment="1">
      <alignment horizontal="center" vertical="center" wrapText="1"/>
    </xf>
    <xf numFmtId="170" fontId="81" fillId="27" borderId="18" xfId="1" applyNumberFormat="1" applyFont="1" applyFill="1" applyBorder="1" applyAlignment="1">
      <alignment horizontal="center" vertical="center"/>
    </xf>
    <xf numFmtId="170" fontId="81" fillId="27" borderId="35" xfId="1" applyNumberFormat="1" applyFont="1" applyFill="1" applyBorder="1" applyAlignment="1">
      <alignment horizontal="center" vertical="center"/>
    </xf>
  </cellXfs>
  <cellStyles count="240">
    <cellStyle name="20% - Accent1 2" xfId="3" xr:uid="{00000000-0005-0000-0000-000000000000}"/>
    <cellStyle name="20% - Accent2 2" xfId="4" xr:uid="{00000000-0005-0000-0000-000001000000}"/>
    <cellStyle name="20% - Accent3 2" xfId="5" xr:uid="{00000000-0005-0000-0000-000002000000}"/>
    <cellStyle name="20% - Accent3 3" xfId="140" xr:uid="{00000000-0005-0000-0000-000003000000}"/>
    <cellStyle name="20% - Accent4 2" xfId="6" xr:uid="{00000000-0005-0000-0000-000004000000}"/>
    <cellStyle name="20% - Accent5 2" xfId="7" xr:uid="{00000000-0005-0000-0000-000005000000}"/>
    <cellStyle name="20% - Accent6 2" xfId="8" xr:uid="{00000000-0005-0000-0000-000006000000}"/>
    <cellStyle name="40% - Accent1 2" xfId="9" xr:uid="{00000000-0005-0000-0000-000007000000}"/>
    <cellStyle name="40% - Accent2 2" xfId="10" xr:uid="{00000000-0005-0000-0000-000008000000}"/>
    <cellStyle name="40% - Accent3 2" xfId="11" xr:uid="{00000000-0005-0000-0000-000009000000}"/>
    <cellStyle name="40% - Accent4 2" xfId="12" xr:uid="{00000000-0005-0000-0000-00000A000000}"/>
    <cellStyle name="40% - Accent5 2" xfId="13" xr:uid="{00000000-0005-0000-0000-00000B000000}"/>
    <cellStyle name="40% - Accent6 2" xfId="14" xr:uid="{00000000-0005-0000-0000-00000C000000}"/>
    <cellStyle name="60% - Accent1 2" xfId="15" xr:uid="{00000000-0005-0000-0000-00000D000000}"/>
    <cellStyle name="60% - Accent2 2" xfId="16" xr:uid="{00000000-0005-0000-0000-00000E000000}"/>
    <cellStyle name="60% - Accent3 2" xfId="17" xr:uid="{00000000-0005-0000-0000-00000F000000}"/>
    <cellStyle name="60% - Accent4 2" xfId="18" xr:uid="{00000000-0005-0000-0000-000010000000}"/>
    <cellStyle name="60% - Accent5 2" xfId="19" xr:uid="{00000000-0005-0000-0000-000011000000}"/>
    <cellStyle name="60% - Accent6 2" xfId="20" xr:uid="{00000000-0005-0000-0000-000012000000}"/>
    <cellStyle name="Accent1 2" xfId="21" xr:uid="{00000000-0005-0000-0000-000013000000}"/>
    <cellStyle name="Accent2 2" xfId="22" xr:uid="{00000000-0005-0000-0000-000014000000}"/>
    <cellStyle name="Accent3 2" xfId="23" xr:uid="{00000000-0005-0000-0000-000015000000}"/>
    <cellStyle name="Accent4 2" xfId="24" xr:uid="{00000000-0005-0000-0000-000016000000}"/>
    <cellStyle name="Accent5 2" xfId="25" xr:uid="{00000000-0005-0000-0000-000017000000}"/>
    <cellStyle name="Accent6 2" xfId="26" xr:uid="{00000000-0005-0000-0000-000018000000}"/>
    <cellStyle name="Bad 2" xfId="27" xr:uid="{00000000-0005-0000-0000-000019000000}"/>
    <cellStyle name="Calculation 2" xfId="28" xr:uid="{00000000-0005-0000-0000-00001A000000}"/>
    <cellStyle name="Calculation 3" xfId="142" xr:uid="{00000000-0005-0000-0000-00001B000000}"/>
    <cellStyle name="Check Cell 2" xfId="29" xr:uid="{00000000-0005-0000-0000-00001C000000}"/>
    <cellStyle name="Check Cell 2 2" xfId="98" xr:uid="{00000000-0005-0000-0000-00001D000000}"/>
    <cellStyle name="Comma 10 2 2 2 4" xfId="236" xr:uid="{04AE6C00-3A89-455F-8B48-E803D0A2907F}"/>
    <cellStyle name="Comma 2" xfId="30" xr:uid="{00000000-0005-0000-0000-00001F000000}"/>
    <cellStyle name="Comma 2 2" xfId="51" xr:uid="{00000000-0005-0000-0000-000020000000}"/>
    <cellStyle name="Comma 2 2 2" xfId="71" xr:uid="{00000000-0005-0000-0000-000021000000}"/>
    <cellStyle name="Comma 2 2 2 2" xfId="118" xr:uid="{00000000-0005-0000-0000-000022000000}"/>
    <cellStyle name="Comma 2 2 2 2 2" xfId="196" xr:uid="{00000000-0005-0000-0000-000023000000}"/>
    <cellStyle name="Comma 2 2 2 3" xfId="163" xr:uid="{00000000-0005-0000-0000-000024000000}"/>
    <cellStyle name="Comma 2 2 3" xfId="103" xr:uid="{00000000-0005-0000-0000-000025000000}"/>
    <cellStyle name="Comma 2 2 3 2" xfId="183" xr:uid="{00000000-0005-0000-0000-000026000000}"/>
    <cellStyle name="Comma 2 2 4" xfId="150" xr:uid="{00000000-0005-0000-0000-000027000000}"/>
    <cellStyle name="Comma 2 3" xfId="67" xr:uid="{00000000-0005-0000-0000-000028000000}"/>
    <cellStyle name="Comma 2 3 2" xfId="114" xr:uid="{00000000-0005-0000-0000-000029000000}"/>
    <cellStyle name="Comma 2 3 2 2" xfId="192" xr:uid="{00000000-0005-0000-0000-00002A000000}"/>
    <cellStyle name="Comma 2 3 3" xfId="159" xr:uid="{00000000-0005-0000-0000-00002B000000}"/>
    <cellStyle name="Comma 2 4" xfId="99" xr:uid="{00000000-0005-0000-0000-00002C000000}"/>
    <cellStyle name="Comma 2 4 2" xfId="179" xr:uid="{00000000-0005-0000-0000-00002D000000}"/>
    <cellStyle name="Comma 2 5" xfId="146" xr:uid="{00000000-0005-0000-0000-00002E000000}"/>
    <cellStyle name="Comma 2 6" xfId="231" xr:uid="{383C069E-C814-4AAB-83B4-FC639E4F69A8}"/>
    <cellStyle name="Comma 2 7" xfId="239" xr:uid="{EFF5868D-EC5E-43DE-A0B0-3FCF0A3FE446}"/>
    <cellStyle name="Comma 3" xfId="60" xr:uid="{00000000-0005-0000-0000-00002F000000}"/>
    <cellStyle name="Comma 3 2" xfId="77" xr:uid="{00000000-0005-0000-0000-000030000000}"/>
    <cellStyle name="Comma 3 2 2" xfId="122" xr:uid="{00000000-0005-0000-0000-000031000000}"/>
    <cellStyle name="Comma 3 2 2 2" xfId="200" xr:uid="{00000000-0005-0000-0000-000032000000}"/>
    <cellStyle name="Comma 3 2 3" xfId="167" xr:uid="{00000000-0005-0000-0000-000033000000}"/>
    <cellStyle name="Comma 3 3" xfId="107" xr:uid="{00000000-0005-0000-0000-000034000000}"/>
    <cellStyle name="Comma 3 3 2" xfId="187" xr:uid="{00000000-0005-0000-0000-000035000000}"/>
    <cellStyle name="Comma 3 4" xfId="154" xr:uid="{00000000-0005-0000-0000-000036000000}"/>
    <cellStyle name="Comma 4" xfId="63" xr:uid="{00000000-0005-0000-0000-000037000000}"/>
    <cellStyle name="Comma 4 2" xfId="79" xr:uid="{00000000-0005-0000-0000-000038000000}"/>
    <cellStyle name="Comma 4 2 2" xfId="124" xr:uid="{00000000-0005-0000-0000-000039000000}"/>
    <cellStyle name="Comma 4 2 2 2" xfId="202" xr:uid="{00000000-0005-0000-0000-00003A000000}"/>
    <cellStyle name="Comma 4 2 3" xfId="169" xr:uid="{00000000-0005-0000-0000-00003B000000}"/>
    <cellStyle name="Comma 4 3" xfId="88" xr:uid="{00000000-0005-0000-0000-00003C000000}"/>
    <cellStyle name="Comma 4 3 2" xfId="128" xr:uid="{00000000-0005-0000-0000-00003D000000}"/>
    <cellStyle name="Comma 4 3 2 2" xfId="206" xr:uid="{00000000-0005-0000-0000-00003E000000}"/>
    <cellStyle name="Comma 4 3 3" xfId="173" xr:uid="{00000000-0005-0000-0000-00003F000000}"/>
    <cellStyle name="Comma 4 4" xfId="95" xr:uid="{00000000-0005-0000-0000-000040000000}"/>
    <cellStyle name="Comma 4 4 2" xfId="132" xr:uid="{00000000-0005-0000-0000-000041000000}"/>
    <cellStyle name="Comma 4 4 2 2" xfId="210" xr:uid="{00000000-0005-0000-0000-000042000000}"/>
    <cellStyle name="Comma 4 4 3" xfId="177" xr:uid="{00000000-0005-0000-0000-000043000000}"/>
    <cellStyle name="Comma 4 5" xfId="110" xr:uid="{00000000-0005-0000-0000-000044000000}"/>
    <cellStyle name="Comma 4 5 2" xfId="189" xr:uid="{00000000-0005-0000-0000-000045000000}"/>
    <cellStyle name="Comma 4 6" xfId="156" xr:uid="{00000000-0005-0000-0000-000046000000}"/>
    <cellStyle name="Comma 5" xfId="84" xr:uid="{00000000-0005-0000-0000-000047000000}"/>
    <cellStyle name="Comma 5 2" xfId="126" xr:uid="{00000000-0005-0000-0000-000048000000}"/>
    <cellStyle name="Comma 5 2 2" xfId="204" xr:uid="{00000000-0005-0000-0000-000049000000}"/>
    <cellStyle name="Comma 5 3" xfId="171" xr:uid="{00000000-0005-0000-0000-00004A000000}"/>
    <cellStyle name="Comma 6" xfId="92" xr:uid="{00000000-0005-0000-0000-00004B000000}"/>
    <cellStyle name="Comma 6 2" xfId="130" xr:uid="{00000000-0005-0000-0000-00004C000000}"/>
    <cellStyle name="Comma 6 2 2" xfId="208" xr:uid="{00000000-0005-0000-0000-00004D000000}"/>
    <cellStyle name="Comma 6 3" xfId="175" xr:uid="{00000000-0005-0000-0000-00004E000000}"/>
    <cellStyle name="Comma 7" xfId="144" xr:uid="{00000000-0005-0000-0000-00004F000000}"/>
    <cellStyle name="Comma 7 2" xfId="217" xr:uid="{00000000-0005-0000-0000-000050000000}"/>
    <cellStyle name="Comma 7 3" xfId="226" xr:uid="{D7B0469B-BAE4-4373-8601-3B6590C3F601}"/>
    <cellStyle name="Comma 8" xfId="233" xr:uid="{9552A7E7-82DE-43F6-A347-C299750C2A4B}"/>
    <cellStyle name="Comma_scenario cash flows" xfId="56" xr:uid="{00000000-0005-0000-0000-000051000000}"/>
    <cellStyle name="Currency" xfId="1" builtinId="4"/>
    <cellStyle name="Currency 10" xfId="97" xr:uid="{00000000-0005-0000-0000-000053000000}"/>
    <cellStyle name="Currency 10 2" xfId="178" xr:uid="{00000000-0005-0000-0000-000054000000}"/>
    <cellStyle name="Currency 11" xfId="139" xr:uid="{00000000-0005-0000-0000-000055000000}"/>
    <cellStyle name="Currency 11 2" xfId="216" xr:uid="{00000000-0005-0000-0000-000056000000}"/>
    <cellStyle name="Currency 12" xfId="145" xr:uid="{00000000-0005-0000-0000-000057000000}"/>
    <cellStyle name="Currency 13" xfId="218" xr:uid="{00000000-0005-0000-0000-000058000000}"/>
    <cellStyle name="Currency 2" xfId="32" xr:uid="{00000000-0005-0000-0000-000059000000}"/>
    <cellStyle name="Currency 2 2" xfId="53" xr:uid="{00000000-0005-0000-0000-00005A000000}"/>
    <cellStyle name="Currency 2 2 2" xfId="73" xr:uid="{00000000-0005-0000-0000-00005B000000}"/>
    <cellStyle name="Currency 2 2 2 2" xfId="120" xr:uid="{00000000-0005-0000-0000-00005C000000}"/>
    <cellStyle name="Currency 2 2 2 2 2" xfId="198" xr:uid="{00000000-0005-0000-0000-00005D000000}"/>
    <cellStyle name="Currency 2 2 2 3" xfId="165" xr:uid="{00000000-0005-0000-0000-00005E000000}"/>
    <cellStyle name="Currency 2 2 3" xfId="105" xr:uid="{00000000-0005-0000-0000-00005F000000}"/>
    <cellStyle name="Currency 2 2 3 2" xfId="185" xr:uid="{00000000-0005-0000-0000-000060000000}"/>
    <cellStyle name="Currency 2 2 4" xfId="152" xr:uid="{00000000-0005-0000-0000-000061000000}"/>
    <cellStyle name="Currency 2 3" xfId="69" xr:uid="{00000000-0005-0000-0000-000062000000}"/>
    <cellStyle name="Currency 2 3 2" xfId="116" xr:uid="{00000000-0005-0000-0000-000063000000}"/>
    <cellStyle name="Currency 2 3 2 2" xfId="194" xr:uid="{00000000-0005-0000-0000-000064000000}"/>
    <cellStyle name="Currency 2 3 3" xfId="161" xr:uid="{00000000-0005-0000-0000-000065000000}"/>
    <cellStyle name="Currency 2 4" xfId="101" xr:uid="{00000000-0005-0000-0000-000066000000}"/>
    <cellStyle name="Currency 2 4 2" xfId="181" xr:uid="{00000000-0005-0000-0000-000067000000}"/>
    <cellStyle name="Currency 2 5" xfId="148" xr:uid="{00000000-0005-0000-0000-000068000000}"/>
    <cellStyle name="Currency 2 6" xfId="219" xr:uid="{00000000-0005-0000-0000-000069000000}"/>
    <cellStyle name="Currency 2 7" xfId="222" xr:uid="{E7B6DE98-07C9-413A-942C-8631B3D9017E}"/>
    <cellStyle name="Currency 2 7 2" xfId="228" xr:uid="{D8EF4FBB-92DB-4CEE-B940-C353D88F45A0}"/>
    <cellStyle name="Currency 3" xfId="33" xr:uid="{00000000-0005-0000-0000-00006A000000}"/>
    <cellStyle name="Currency 3 2" xfId="54" xr:uid="{00000000-0005-0000-0000-00006B000000}"/>
    <cellStyle name="Currency 3 2 2" xfId="74" xr:uid="{00000000-0005-0000-0000-00006C000000}"/>
    <cellStyle name="Currency 3 2 2 2" xfId="121" xr:uid="{00000000-0005-0000-0000-00006D000000}"/>
    <cellStyle name="Currency 3 2 2 2 2" xfId="199" xr:uid="{00000000-0005-0000-0000-00006E000000}"/>
    <cellStyle name="Currency 3 2 2 3" xfId="166" xr:uid="{00000000-0005-0000-0000-00006F000000}"/>
    <cellStyle name="Currency 3 2 3" xfId="106" xr:uid="{00000000-0005-0000-0000-000070000000}"/>
    <cellStyle name="Currency 3 2 3 2" xfId="186" xr:uid="{00000000-0005-0000-0000-000071000000}"/>
    <cellStyle name="Currency 3 2 4" xfId="153" xr:uid="{00000000-0005-0000-0000-000072000000}"/>
    <cellStyle name="Currency 3 3" xfId="70" xr:uid="{00000000-0005-0000-0000-000073000000}"/>
    <cellStyle name="Currency 3 3 2" xfId="117" xr:uid="{00000000-0005-0000-0000-000074000000}"/>
    <cellStyle name="Currency 3 3 2 2" xfId="195" xr:uid="{00000000-0005-0000-0000-000075000000}"/>
    <cellStyle name="Currency 3 3 3" xfId="162" xr:uid="{00000000-0005-0000-0000-000076000000}"/>
    <cellStyle name="Currency 3 4" xfId="85" xr:uid="{00000000-0005-0000-0000-000077000000}"/>
    <cellStyle name="Currency 3 4 2" xfId="127" xr:uid="{00000000-0005-0000-0000-000078000000}"/>
    <cellStyle name="Currency 3 4 2 2" xfId="205" xr:uid="{00000000-0005-0000-0000-000079000000}"/>
    <cellStyle name="Currency 3 4 3" xfId="172" xr:uid="{00000000-0005-0000-0000-00007A000000}"/>
    <cellStyle name="Currency 3 5" xfId="102" xr:uid="{00000000-0005-0000-0000-00007B000000}"/>
    <cellStyle name="Currency 3 5 2" xfId="182" xr:uid="{00000000-0005-0000-0000-00007C000000}"/>
    <cellStyle name="Currency 3 6" xfId="149" xr:uid="{00000000-0005-0000-0000-00007D000000}"/>
    <cellStyle name="Currency 4" xfId="31" xr:uid="{00000000-0005-0000-0000-00007E000000}"/>
    <cellStyle name="Currency 4 2" xfId="68" xr:uid="{00000000-0005-0000-0000-00007F000000}"/>
    <cellStyle name="Currency 4 2 2" xfId="115" xr:uid="{00000000-0005-0000-0000-000080000000}"/>
    <cellStyle name="Currency 4 2 2 2" xfId="193" xr:uid="{00000000-0005-0000-0000-000081000000}"/>
    <cellStyle name="Currency 4 2 3" xfId="160" xr:uid="{00000000-0005-0000-0000-000082000000}"/>
    <cellStyle name="Currency 4 3" xfId="100" xr:uid="{00000000-0005-0000-0000-000083000000}"/>
    <cellStyle name="Currency 4 3 2" xfId="180" xr:uid="{00000000-0005-0000-0000-000084000000}"/>
    <cellStyle name="Currency 4 4" xfId="147" xr:uid="{00000000-0005-0000-0000-000085000000}"/>
    <cellStyle name="Currency 5" xfId="52" xr:uid="{00000000-0005-0000-0000-000086000000}"/>
    <cellStyle name="Currency 5 2" xfId="72" xr:uid="{00000000-0005-0000-0000-000087000000}"/>
    <cellStyle name="Currency 5 2 2" xfId="119" xr:uid="{00000000-0005-0000-0000-000088000000}"/>
    <cellStyle name="Currency 5 2 2 2" xfId="197" xr:uid="{00000000-0005-0000-0000-000089000000}"/>
    <cellStyle name="Currency 5 2 3" xfId="164" xr:uid="{00000000-0005-0000-0000-00008A000000}"/>
    <cellStyle name="Currency 5 3" xfId="104" xr:uid="{00000000-0005-0000-0000-00008B000000}"/>
    <cellStyle name="Currency 5 3 2" xfId="184" xr:uid="{00000000-0005-0000-0000-00008C000000}"/>
    <cellStyle name="Currency 5 4" xfId="151" xr:uid="{00000000-0005-0000-0000-00008D000000}"/>
    <cellStyle name="Currency 6" xfId="61" xr:uid="{00000000-0005-0000-0000-00008E000000}"/>
    <cellStyle name="Currency 6 2" xfId="78" xr:uid="{00000000-0005-0000-0000-00008F000000}"/>
    <cellStyle name="Currency 6 2 2" xfId="123" xr:uid="{00000000-0005-0000-0000-000090000000}"/>
    <cellStyle name="Currency 6 2 2 2" xfId="201" xr:uid="{00000000-0005-0000-0000-000091000000}"/>
    <cellStyle name="Currency 6 2 3" xfId="168" xr:uid="{00000000-0005-0000-0000-000092000000}"/>
    <cellStyle name="Currency 6 3" xfId="108" xr:uid="{00000000-0005-0000-0000-000093000000}"/>
    <cellStyle name="Currency 6 3 2" xfId="188" xr:uid="{00000000-0005-0000-0000-000094000000}"/>
    <cellStyle name="Currency 6 4" xfId="155" xr:uid="{00000000-0005-0000-0000-000095000000}"/>
    <cellStyle name="Currency 7" xfId="64" xr:uid="{00000000-0005-0000-0000-000096000000}"/>
    <cellStyle name="Currency 7 2" xfId="80" xr:uid="{00000000-0005-0000-0000-000097000000}"/>
    <cellStyle name="Currency 7 2 2" xfId="125" xr:uid="{00000000-0005-0000-0000-000098000000}"/>
    <cellStyle name="Currency 7 2 2 2" xfId="203" xr:uid="{00000000-0005-0000-0000-000099000000}"/>
    <cellStyle name="Currency 7 2 3" xfId="170" xr:uid="{00000000-0005-0000-0000-00009A000000}"/>
    <cellStyle name="Currency 7 3" xfId="90" xr:uid="{00000000-0005-0000-0000-00009B000000}"/>
    <cellStyle name="Currency 7 3 2" xfId="129" xr:uid="{00000000-0005-0000-0000-00009C000000}"/>
    <cellStyle name="Currency 7 3 2 2" xfId="207" xr:uid="{00000000-0005-0000-0000-00009D000000}"/>
    <cellStyle name="Currency 7 3 3" xfId="174" xr:uid="{00000000-0005-0000-0000-00009E000000}"/>
    <cellStyle name="Currency 7 4" xfId="111" xr:uid="{00000000-0005-0000-0000-00009F000000}"/>
    <cellStyle name="Currency 7 4 2" xfId="190" xr:uid="{00000000-0005-0000-0000-0000A0000000}"/>
    <cellStyle name="Currency 7 5" xfId="157" xr:uid="{00000000-0005-0000-0000-0000A1000000}"/>
    <cellStyle name="Currency 8" xfId="66" xr:uid="{00000000-0005-0000-0000-0000A2000000}"/>
    <cellStyle name="Currency 8 2" xfId="113" xr:uid="{00000000-0005-0000-0000-0000A3000000}"/>
    <cellStyle name="Currency 8 2 2" xfId="191" xr:uid="{00000000-0005-0000-0000-0000A4000000}"/>
    <cellStyle name="Currency 8 3" xfId="158" xr:uid="{00000000-0005-0000-0000-0000A5000000}"/>
    <cellStyle name="Currency 9" xfId="93" xr:uid="{00000000-0005-0000-0000-0000A6000000}"/>
    <cellStyle name="Currency 9 2" xfId="131" xr:uid="{00000000-0005-0000-0000-0000A7000000}"/>
    <cellStyle name="Currency 9 2 2" xfId="209" xr:uid="{00000000-0005-0000-0000-0000A8000000}"/>
    <cellStyle name="Currency 9 3" xfId="176" xr:uid="{00000000-0005-0000-0000-0000A9000000}"/>
    <cellStyle name="Currency_scenario cash flows" xfId="55" xr:uid="{00000000-0005-0000-0000-0000AA000000}"/>
    <cellStyle name="Explanatory Text 2" xfId="34" xr:uid="{00000000-0005-0000-0000-0000AB000000}"/>
    <cellStyle name="Good 2" xfId="35" xr:uid="{00000000-0005-0000-0000-0000AC000000}"/>
    <cellStyle name="Heading 1 2" xfId="36" xr:uid="{00000000-0005-0000-0000-0000AD000000}"/>
    <cellStyle name="Heading 2 2" xfId="37" xr:uid="{00000000-0005-0000-0000-0000AE000000}"/>
    <cellStyle name="Heading 3 2" xfId="38" xr:uid="{00000000-0005-0000-0000-0000AF000000}"/>
    <cellStyle name="Heading 4 2" xfId="39" xr:uid="{00000000-0005-0000-0000-0000B0000000}"/>
    <cellStyle name="Hyperlink 2" xfId="86" xr:uid="{00000000-0005-0000-0000-0000B2000000}"/>
    <cellStyle name="Hyperlink 2 2" xfId="223" xr:uid="{ACA9752B-D00D-4304-B16F-5A9D223B1B47}"/>
    <cellStyle name="Input 2" xfId="40" xr:uid="{00000000-0005-0000-0000-0000B3000000}"/>
    <cellStyle name="Input 3" xfId="141" xr:uid="{00000000-0005-0000-0000-0000B4000000}"/>
    <cellStyle name="Linked Cell 2" xfId="41" xr:uid="{00000000-0005-0000-0000-0000B5000000}"/>
    <cellStyle name="Neutral 2" xfId="42" xr:uid="{00000000-0005-0000-0000-0000B6000000}"/>
    <cellStyle name="Normal" xfId="0" builtinId="0"/>
    <cellStyle name="Normal 10" xfId="137" xr:uid="{00000000-0005-0000-0000-0000B8000000}"/>
    <cellStyle name="Normal 10 2" xfId="215" xr:uid="{00000000-0005-0000-0000-0000B9000000}"/>
    <cellStyle name="Normal 10 2 15" xfId="234" xr:uid="{302D39B0-63E5-4CBC-9A4A-7DCE7EC153F6}"/>
    <cellStyle name="Normal 11" xfId="138" xr:uid="{00000000-0005-0000-0000-0000BA000000}"/>
    <cellStyle name="Normal 12" xfId="143" xr:uid="{00000000-0005-0000-0000-0000BB000000}"/>
    <cellStyle name="Normal 12 2" xfId="238" xr:uid="{8AC0499D-4E86-4FE9-BFD9-3AA1D7E98AED}"/>
    <cellStyle name="Normal 13" xfId="232" xr:uid="{EFB3775F-A435-4FDF-92B5-899F85324BA0}"/>
    <cellStyle name="Normal 2" xfId="43" xr:uid="{00000000-0005-0000-0000-0000BC000000}"/>
    <cellStyle name="Normal 2 2" xfId="96" xr:uid="{00000000-0005-0000-0000-0000BD000000}"/>
    <cellStyle name="Normal 2 2 2" xfId="224" xr:uid="{FB4824A5-EF13-4D96-B029-D053D13E8F10}"/>
    <cellStyle name="Normal 2 3" xfId="220" xr:uid="{07FBA243-7628-4CE1-9C9A-351C7FF9CB19}"/>
    <cellStyle name="Normal 2 3 2" xfId="227" xr:uid="{AD530006-BB40-4A31-A920-080F145AC4D0}"/>
    <cellStyle name="Normal 3" xfId="2" xr:uid="{00000000-0005-0000-0000-0000BE000000}"/>
    <cellStyle name="Normal 3 2" xfId="82" xr:uid="{00000000-0005-0000-0000-0000BF000000}"/>
    <cellStyle name="Normal 3 2 2" xfId="94" xr:uid="{00000000-0005-0000-0000-0000C0000000}"/>
    <cellStyle name="Normal 4" xfId="57" xr:uid="{00000000-0005-0000-0000-0000C1000000}"/>
    <cellStyle name="Normal 4 2" xfId="75" xr:uid="{00000000-0005-0000-0000-0000C2000000}"/>
    <cellStyle name="Normal 5" xfId="62" xr:uid="{00000000-0005-0000-0000-0000C3000000}"/>
    <cellStyle name="Normal 5 2" xfId="109" xr:uid="{00000000-0005-0000-0000-0000C4000000}"/>
    <cellStyle name="Normal 6" xfId="87" xr:uid="{00000000-0005-0000-0000-0000C5000000}"/>
    <cellStyle name="Normal 6 2" xfId="91" xr:uid="{00000000-0005-0000-0000-0000C6000000}"/>
    <cellStyle name="Normal 7" xfId="133" xr:uid="{00000000-0005-0000-0000-0000C7000000}"/>
    <cellStyle name="Normal 7 2" xfId="135" xr:uid="{00000000-0005-0000-0000-0000C8000000}"/>
    <cellStyle name="Normal 7 2 2" xfId="213" xr:uid="{00000000-0005-0000-0000-0000C9000000}"/>
    <cellStyle name="Normal 7 3" xfId="211" xr:uid="{00000000-0005-0000-0000-0000CA000000}"/>
    <cellStyle name="Normal 8" xfId="134" xr:uid="{00000000-0005-0000-0000-0000CB000000}"/>
    <cellStyle name="Normal 8 2" xfId="212" xr:uid="{00000000-0005-0000-0000-0000CC000000}"/>
    <cellStyle name="Normal 9" xfId="136" xr:uid="{00000000-0005-0000-0000-0000CD000000}"/>
    <cellStyle name="Normal 9 2" xfId="214" xr:uid="{00000000-0005-0000-0000-0000CE000000}"/>
    <cellStyle name="Note 2" xfId="44" xr:uid="{00000000-0005-0000-0000-0000D0000000}"/>
    <cellStyle name="Output 2" xfId="45" xr:uid="{00000000-0005-0000-0000-0000D1000000}"/>
    <cellStyle name="Percent" xfId="81" builtinId="5"/>
    <cellStyle name="Percent 0" xfId="237" xr:uid="{9FCCCB83-7121-488D-8AE6-EB05CC5BCB47}"/>
    <cellStyle name="Percent 2" xfId="46" xr:uid="{00000000-0005-0000-0000-0000D3000000}"/>
    <cellStyle name="Percent 2 2" xfId="83" xr:uid="{00000000-0005-0000-0000-0000D4000000}"/>
    <cellStyle name="Percent 2 2 2" xfId="225" xr:uid="{8AC8DA9A-F6A7-415C-AFB5-A082FA10E5BB}"/>
    <cellStyle name="Percent 2 3" xfId="221" xr:uid="{55892A83-99F2-4D4E-9FDF-B9297BED95AC}"/>
    <cellStyle name="Percent 2 3 2" xfId="229" xr:uid="{D30DDC24-FA4A-463C-B91C-CDE3234AB8FC}"/>
    <cellStyle name="Percent 2 4" xfId="230" xr:uid="{8DE55CB5-0309-4640-A3D5-A5FD32CBAF18}"/>
    <cellStyle name="Percent 3" xfId="47" xr:uid="{00000000-0005-0000-0000-0000D5000000}"/>
    <cellStyle name="Percent 3 2" xfId="59" xr:uid="{00000000-0005-0000-0000-0000D6000000}"/>
    <cellStyle name="Percent 4" xfId="58" xr:uid="{00000000-0005-0000-0000-0000D7000000}"/>
    <cellStyle name="Percent 4 2" xfId="76" xr:uid="{00000000-0005-0000-0000-0000D8000000}"/>
    <cellStyle name="Percent 5" xfId="65" xr:uid="{00000000-0005-0000-0000-0000D9000000}"/>
    <cellStyle name="Percent 5 2" xfId="89" xr:uid="{00000000-0005-0000-0000-0000DA000000}"/>
    <cellStyle name="Percent 5 3" xfId="112" xr:uid="{00000000-0005-0000-0000-0000DB000000}"/>
    <cellStyle name="R07L" xfId="235" xr:uid="{D6B22C8C-3E82-4E28-BCCE-0B3840B53188}"/>
    <cellStyle name="Title 2" xfId="48" xr:uid="{00000000-0005-0000-0000-0000DC000000}"/>
    <cellStyle name="Total 2" xfId="49" xr:uid="{00000000-0005-0000-0000-0000DD000000}"/>
    <cellStyle name="Warning Text 2" xfId="50" xr:uid="{00000000-0005-0000-0000-0000DE000000}"/>
  </cellStyles>
  <dxfs count="48">
    <dxf>
      <fill>
        <patternFill>
          <bgColor rgb="FFFF0000"/>
        </patternFill>
      </fill>
    </dxf>
    <dxf>
      <fill>
        <patternFill>
          <bgColor rgb="FFFF0000"/>
        </patternFill>
      </fill>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numFmt numFmtId="13" formatCode="0%"/>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65" formatCode="_-&quot;$&quot;* #,##0.00_-;\-&quot;$&quot;* #,##0.00_-;_-&quot;$&quot;* &quot;-&quot;??_-;_-@_-"/>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
        <scheme val="none"/>
      </font>
      <numFmt numFmtId="0" formatCode="General"/>
      <fill>
        <patternFill patternType="solid">
          <fgColor indexed="64"/>
          <bgColor theme="4" tint="0.79998168889431442"/>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style="thin">
          <color indexed="64"/>
        </bottom>
      </border>
    </dxf>
    <dxf>
      <border outline="0">
        <top style="thin">
          <color rgb="FF000000"/>
        </top>
      </border>
    </dxf>
    <dxf>
      <border outline="0">
        <left style="thin">
          <color rgb="FF000000"/>
        </left>
        <right style="thin">
          <color rgb="FF000000"/>
        </right>
        <top style="medium">
          <color rgb="FF000000"/>
        </top>
        <bottom style="thin">
          <color rgb="FF000000"/>
        </bottom>
      </border>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auto="1"/>
        <name val="Calibri"/>
        <scheme val="minor"/>
      </font>
      <numFmt numFmtId="167" formatCode="_-&quot;$&quot;* #,##0_-;\-&quot;$&quot;* #,##0_-;_-&quot;$&quot;* &quot;-&quot;??_-;_-@_-"/>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3" formatCode="0%"/>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minor"/>
      </font>
      <numFmt numFmtId="167" formatCode="_-&quot;$&quot;* #,##0_-;\-&quot;$&quot;* #,##0_-;_-&quot;$&quot;* &quot;-&quot;??_-;_-@_-"/>
      <fill>
        <patternFill patternType="none">
          <fgColor indexed="64"/>
          <bgColor auto="1"/>
        </patternFill>
      </fill>
      <alignment horizontal="general" vertical="center" textRotation="0" wrapText="0" indent="0" justifyLastLine="0" shrinkToFit="0" readingOrder="0"/>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right/>
        <top/>
        <bottom style="double">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bottom style="double">
          <color indexed="64"/>
        </bottom>
      </border>
    </dxf>
    <dxf>
      <border outline="0">
        <top style="thin">
          <color rgb="FF000000"/>
        </top>
      </border>
    </dxf>
    <dxf>
      <border outline="0">
        <left style="thin">
          <color rgb="FF000000"/>
        </left>
        <right style="thin">
          <color rgb="FF000000"/>
        </right>
        <top style="medium">
          <color rgb="FF000000"/>
        </top>
        <bottom style="thin">
          <color rgb="FF000000"/>
        </bottom>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numFmt numFmtId="13" formatCode="0%"/>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65" formatCode="_-&quot;$&quot;* #,##0.00_-;\-&quot;$&quot;* #,##0.00_-;_-&quot;$&quot;* &quot;-&quot;??_-;_-@_-"/>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0" formatCode="Genera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
        <scheme val="none"/>
      </font>
      <numFmt numFmtId="0" formatCode="General"/>
      <fill>
        <patternFill patternType="solid">
          <fgColor indexed="64"/>
          <bgColor theme="4" tint="0.79998168889431442"/>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style="thin">
          <color indexed="64"/>
        </bottom>
      </border>
    </dxf>
    <dxf>
      <border outline="0">
        <top style="thin">
          <color rgb="FF000000"/>
        </top>
      </border>
    </dxf>
    <dxf>
      <border outline="0">
        <left style="thin">
          <color rgb="FF000000"/>
        </left>
        <right style="thin">
          <color rgb="FF000000"/>
        </right>
        <top style="medium">
          <color rgb="FF000000"/>
        </top>
        <bottom style="thin">
          <color rgb="FF000000"/>
        </bottom>
      </border>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s>
  <tableStyles count="0" defaultTableStyle="TableStyleMedium2" defaultPivotStyle="PivotStyleLight16"/>
  <colors>
    <mruColors>
      <color rgb="FFDDEBF7"/>
      <color rgb="FFFF7C80"/>
      <color rgb="FFFFE699"/>
      <color rgb="FFFFF915"/>
      <color rgb="FFD9D9D9"/>
      <color rgb="FFBDD7EE"/>
      <color rgb="FFF4EE00"/>
      <color rgb="FFFBABAB"/>
      <color rgb="FF70AD47"/>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2600324</xdr:colOff>
      <xdr:row>12</xdr:row>
      <xdr:rowOff>590550</xdr:rowOff>
    </xdr:from>
    <xdr:to>
      <xdr:col>1</xdr:col>
      <xdr:colOff>3990975</xdr:colOff>
      <xdr:row>12</xdr:row>
      <xdr:rowOff>1552575</xdr:rowOff>
    </xdr:to>
    <xdr:pic>
      <xdr:nvPicPr>
        <xdr:cNvPr id="2" name="Picture 1">
          <a:extLst>
            <a:ext uri="{FF2B5EF4-FFF2-40B4-BE49-F238E27FC236}">
              <a16:creationId xmlns:a16="http://schemas.microsoft.com/office/drawing/2014/main" id="{BF306210-722B-3449-3286-18A2C14EDFF6}"/>
            </a:ext>
          </a:extLst>
        </xdr:cNvPr>
        <xdr:cNvPicPr>
          <a:picLocks noChangeAspect="1"/>
        </xdr:cNvPicPr>
      </xdr:nvPicPr>
      <xdr:blipFill rotWithShape="1">
        <a:blip xmlns:r="http://schemas.openxmlformats.org/officeDocument/2006/relationships" r:embed="rId1"/>
        <a:srcRect l="3822" t="3402" r="3185" b="4574"/>
        <a:stretch>
          <a:fillRect/>
        </a:stretch>
      </xdr:blipFill>
      <xdr:spPr>
        <a:xfrm>
          <a:off x="4667249" y="4933950"/>
          <a:ext cx="1390651" cy="962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632884</xdr:colOff>
      <xdr:row>3</xdr:row>
      <xdr:rowOff>185208</xdr:rowOff>
    </xdr:from>
    <xdr:to>
      <xdr:col>11</xdr:col>
      <xdr:colOff>933028</xdr:colOff>
      <xdr:row>5</xdr:row>
      <xdr:rowOff>362777</xdr:rowOff>
    </xdr:to>
    <xdr:pic>
      <xdr:nvPicPr>
        <xdr:cNvPr id="4" name="Picture 3">
          <a:extLst>
            <a:ext uri="{FF2B5EF4-FFF2-40B4-BE49-F238E27FC236}">
              <a16:creationId xmlns:a16="http://schemas.microsoft.com/office/drawing/2014/main" id="{878B7CAE-5AE8-9913-715A-5B9A9A75FD72}"/>
            </a:ext>
          </a:extLst>
        </xdr:cNvPr>
        <xdr:cNvPicPr>
          <a:picLocks noChangeAspect="1"/>
        </xdr:cNvPicPr>
      </xdr:nvPicPr>
      <xdr:blipFill>
        <a:blip xmlns:r="http://schemas.openxmlformats.org/officeDocument/2006/relationships" r:embed="rId1"/>
        <a:stretch>
          <a:fillRect/>
        </a:stretch>
      </xdr:blipFill>
      <xdr:spPr>
        <a:xfrm>
          <a:off x="8214784" y="756708"/>
          <a:ext cx="3887259" cy="60156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2B4A309-26CA-4838-85B2-2F94CD1D09CB}" name="Table1957810111213142361727281516171872023" displayName="Table1957810111213142361727281516171872023" ref="A11:K14" totalsRowShown="0" headerRowDxfId="47" headerRowBorderDxfId="46" tableBorderDxfId="45" totalsRowBorderDxfId="44">
  <tableColumns count="11">
    <tableColumn id="1" xr3:uid="{366FD6B4-595F-4A3E-A0EC-3F4D6EEE87AA}" name="a" dataDxfId="43" dataCellStyle="Normal 2 3"/>
    <tableColumn id="2" xr3:uid="{5E3032AF-3479-481F-9D1D-B023DB3FD21C}" name="b" dataDxfId="42" dataCellStyle="Normal 2 3">
      <calculatedColumnFormula>INDEX('W-Distribution'!$C$6:$C$12,MATCH(Table1957810111213142361727281516171872023[[#This Row],[a]],'W-Distribution'!$B$6:$B$12,0))</calculatedColumnFormula>
    </tableColumn>
    <tableColumn id="4" xr3:uid="{D1D1621E-CF2B-454F-8249-01D656EAD661}" name="c" dataDxfId="41">
      <calculatedColumnFormula>INDEX('W-Distribution'!$F$6:$F$12,MATCH(Table1957810111213142361727281516171872023[[#This Row],[a]],'W-Distribution'!$B$6:$B$12,0))</calculatedColumnFormula>
    </tableColumn>
    <tableColumn id="5" xr3:uid="{AB7AEBA3-B9E5-4661-86A3-D9F7661E8979}" name="d" dataDxfId="40" dataCellStyle="Normal 2">
      <calculatedColumnFormula>INDEX('W-Distribution'!$G$6:$G$12,MATCH(Table1957810111213142361727281516171872023[[#This Row],[a]],'W-Distribution'!$B$6:$B$12,0))</calculatedColumnFormula>
    </tableColumn>
    <tableColumn id="6" xr3:uid="{97289B7A-88A7-4071-BC58-2518D605740A}" name="e" dataDxfId="39">
      <calculatedColumnFormula>(D12-C12)+1</calculatedColumnFormula>
    </tableColumn>
    <tableColumn id="7" xr3:uid="{0C7EEF8F-53A3-40E3-A5B9-FB475A04E612}" name="f" dataDxfId="38" dataCellStyle="Currency">
      <calculatedColumnFormula>INDEX('W-Distribution'!$K$6:$K$8,MATCH(Table1957810111213142361727281516171872023[[#This Row],[a]],'W-Distribution'!$B$6:$B$12,0))</calculatedColumnFormula>
    </tableColumn>
    <tableColumn id="8" xr3:uid="{C8839758-637D-4658-8FD1-7C9E3A0C4442}" name="g" dataDxfId="37" dataCellStyle="Currency"/>
    <tableColumn id="3" xr3:uid="{9CCFA52F-4F12-4120-8E32-0D085B11EB65}" name="h" dataDxfId="36">
      <calculatedColumnFormula>+Table1957810111213142361727281516171872023[[#This Row],[f]]-Table1957810111213142361727281516171872023[[#This Row],[g]]</calculatedColumnFormula>
    </tableColumn>
    <tableColumn id="12" xr3:uid="{DFD76438-2893-475A-A715-EFB1DD399CD6}" name="i" dataDxfId="35" dataCellStyle="Percent">
      <calculatedColumnFormula>INDEX('W-Distribution'!$H$6:$H$12,MATCH(Table1957810111213142361727281516171872023[[#This Row],[a]],'W-Distribution'!$B$6:$B$12,0))</calculatedColumnFormula>
    </tableColumn>
    <tableColumn id="10" xr3:uid="{5E949731-BDB5-413C-AF37-95EE6C6B5E1A}" name="j" dataDxfId="34" dataCellStyle="Percent">
      <calculatedColumnFormula>1-Table1957810111213142361727281516171872023[[#This Row],[i]]</calculatedColumnFormula>
    </tableColumn>
    <tableColumn id="11" xr3:uid="{7A4D3C51-E67F-40D0-A698-64C59ED45F18}" name="k" dataDxfId="33">
      <calculatedColumnFormula>(Table1957810111213142361727281516171872023[[#This Row],[h]]*Table1957810111213142361727281516171872023[[#This Row],[i]])</calculatedColumnFormula>
    </tableColumn>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B05C0778-9076-4F35-9A3E-58C22296EDB8}" name="Table1957810111213142361727281516171872627" displayName="Table1957810111213142361727281516171872627" ref="A11:K13" totalsRowShown="0" headerRowDxfId="32" dataDxfId="30" headerRowBorderDxfId="31" tableBorderDxfId="29" totalsRowBorderDxfId="28">
  <tableColumns count="11">
    <tableColumn id="1" xr3:uid="{7216A9B0-4F0F-43FB-B49C-2CA9A8109E44}" name="a" dataDxfId="27" dataCellStyle="Normal 2 3"/>
    <tableColumn id="2" xr3:uid="{B29593F4-FDAB-41DF-970A-C56AC2A44F80}" name="b" dataDxfId="26" dataCellStyle="Normal 2 3">
      <calculatedColumnFormula>INDEX('W-Supply'!$C$6:$C$8,MATCH(Table1957810111213142361727281516171872627[[#This Row],[a]],'W-Supply'!$B$6:$B$8,0))</calculatedColumnFormula>
    </tableColumn>
    <tableColumn id="4" xr3:uid="{7CDD79D2-BE61-4DCC-BD28-74CA84D7120D}" name="c" dataDxfId="25">
      <calculatedColumnFormula>INDEX('W-Supply'!$F$6:$F$8,MATCH(Table1957810111213142361727281516171872627[[#This Row],[a]],'W-Supply'!$B$6:$B$8,0))</calculatedColumnFormula>
    </tableColumn>
    <tableColumn id="5" xr3:uid="{97F6BEFD-4E4F-4C67-80C4-02158AEFF4BC}" name="d" dataDxfId="24" dataCellStyle="Normal 2">
      <calculatedColumnFormula>INDEX('W-Supply'!$G$6:$G$8,MATCH(Table1957810111213142361727281516171872627[[#This Row],[a]],'W-Supply'!$B$6:$B$8,0))</calculatedColumnFormula>
    </tableColumn>
    <tableColumn id="6" xr3:uid="{D49B158D-F871-4493-90DA-979EC0823E1C}" name="e" dataDxfId="23">
      <calculatedColumnFormula>(D12-C12)+1</calculatedColumnFormula>
    </tableColumn>
    <tableColumn id="7" xr3:uid="{E29DFC1E-81C7-4A31-9D3A-D811315CCB30}" name="f" dataDxfId="22" dataCellStyle="Currency">
      <calculatedColumnFormula>INDEX('W-Supply'!$O$6:$O$8,MATCH(Table1957810111213142361727281516171872627[[#This Row],[a]],'W-Supply'!$B$6:$B$8,0))+INDEX('W-Supply'!$L$6:$L$8,MATCH(Table1957810111213142361727281516171872627[[#This Row],[a]],'W-Supply'!$B$6:$B$8,0))</calculatedColumnFormula>
    </tableColumn>
    <tableColumn id="8" xr3:uid="{1BE00DE1-3538-4169-8E71-E30A06F27154}" name="g" dataDxfId="21" dataCellStyle="Currency">
      <calculatedColumnFormula>INDEX('W-Supply'!$L$6:$L$8,MATCH(Table1957810111213142361727281516171872627[[#This Row],[a]],'W-Supply'!$B$6:$B$8,0))</calculatedColumnFormula>
    </tableColumn>
    <tableColumn id="3" xr3:uid="{08476F4C-B443-4537-83AD-E205E10DF2B6}" name="h" dataDxfId="20">
      <calculatedColumnFormula>+Table1957810111213142361727281516171872627[[#This Row],[f]]-Table1957810111213142361727281516171872627[[#This Row],[g]]</calculatedColumnFormula>
    </tableColumn>
    <tableColumn id="12" xr3:uid="{96DCCD5B-3934-4B22-8F99-45953C6F6873}" name="i" dataDxfId="19" dataCellStyle="Percent">
      <calculatedColumnFormula>INDEX('W-Supply'!$H$6:$H$8,MATCH(Table1957810111213142361727281516171872627[[#This Row],[a]],'W-Supply'!$B$6:$B$8,0))</calculatedColumnFormula>
    </tableColumn>
    <tableColumn id="10" xr3:uid="{1CEA6C65-D005-4517-BA01-8F545D4E634C}" name="j" dataDxfId="18" dataCellStyle="Percent">
      <calculatedColumnFormula>1-Table1957810111213142361727281516171872627[[#This Row],[i]]</calculatedColumnFormula>
    </tableColumn>
    <tableColumn id="11" xr3:uid="{F482EBCD-B6BF-4E6B-90B4-1C23419B3F57}" name="k" dataDxfId="17">
      <calculatedColumnFormula>(Table1957810111213142361727281516171872627[[#This Row],[h]]*Table1957810111213142361727281516171872627[[#This Row],[i]])</calculatedColumnFormula>
    </tableColumn>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2D70F83F-AE97-4048-8165-C3C538353D7D}" name="Table195781011121314236172728151617187202325" displayName="Table195781011121314236172728151617187202325" ref="A11:K16" totalsRowShown="0" headerRowDxfId="16" headerRowBorderDxfId="15" tableBorderDxfId="14" totalsRowBorderDxfId="13">
  <tableColumns count="11">
    <tableColumn id="1" xr3:uid="{952954F7-6AC4-430F-9EF9-11B802F587F7}" name="a" dataDxfId="12" dataCellStyle="Normal 2 3"/>
    <tableColumn id="2" xr3:uid="{392B038B-87C4-48E9-A44D-7698E509CB86}" name="b" dataDxfId="11" dataCellStyle="Normal 2 3">
      <calculatedColumnFormula>INDEX('W-Storage'!$C$4:$C$11,MATCH(Table195781011121314236172728151617187202325[[#This Row],[a]],'W-Storage'!$B$4:$B$11,0))</calculatedColumnFormula>
    </tableColumn>
    <tableColumn id="4" xr3:uid="{777B1C4F-7ED2-4328-A95C-31BC47139087}" name="c" dataDxfId="10">
      <calculatedColumnFormula>INDEX('W-Storage'!$F$6:$F$10,MATCH(Table195781011121314236172728151617187202325[[#This Row],[a]],'W-Storage'!$B$6:$B$10,0))</calculatedColumnFormula>
    </tableColumn>
    <tableColumn id="5" xr3:uid="{477C20BD-DCB1-4B9E-9572-99052B0DF45D}" name="d" dataDxfId="9" dataCellStyle="Normal 2">
      <calculatedColumnFormula>INDEX('W-Storage'!$G$6:$G$10,MATCH(Table195781011121314236172728151617187202325[[#This Row],[a]],'W-Storage'!$B$6:$B$10,0))</calculatedColumnFormula>
    </tableColumn>
    <tableColumn id="6" xr3:uid="{2C635259-44D1-44AF-B64D-B7DAE30B68A8}" name="e" dataDxfId="8">
      <calculatedColumnFormula>(D12-C12)+1</calculatedColumnFormula>
    </tableColumn>
    <tableColumn id="7" xr3:uid="{E5100C6C-C6C6-4B19-9179-A9FB053D9AA3}" name="f" dataDxfId="7" dataCellStyle="Currency">
      <calculatedColumnFormula>INDEX('W-Storage'!$K$6:$K$10,MATCH(Table195781011121314236172728151617187202325[[#This Row],[a]],'W-Storage'!$B$6:$B$10,0))</calculatedColumnFormula>
    </tableColumn>
    <tableColumn id="8" xr3:uid="{12D83EA1-BFE5-46F4-81BA-17E50C457E2E}" name="g" dataDxfId="6" dataCellStyle="Currency"/>
    <tableColumn id="3" xr3:uid="{68883423-1C53-4769-8F1E-DEBB39DF1720}" name="h" dataDxfId="5">
      <calculatedColumnFormula>+Table195781011121314236172728151617187202325[[#This Row],[f]]-Table195781011121314236172728151617187202325[[#This Row],[g]]</calculatedColumnFormula>
    </tableColumn>
    <tableColumn id="12" xr3:uid="{E0BC823D-9E4D-405D-A438-2DF0287C279C}" name="i" dataDxfId="4" dataCellStyle="Percent">
      <calculatedColumnFormula>INDEX('W-Storage'!$H$6:$H$10,MATCH(Table195781011121314236172728151617187202325[[#This Row],[a]],'W-Storage'!$B$6:$B$10,0))</calculatedColumnFormula>
    </tableColumn>
    <tableColumn id="10" xr3:uid="{D40A4A81-08A9-4E1B-85D5-A5CB9609B573}" name="j" dataDxfId="3" dataCellStyle="Percent">
      <calculatedColumnFormula>1-Table195781011121314236172728151617187202325[[#This Row],[i]]</calculatedColumnFormula>
    </tableColumn>
    <tableColumn id="11" xr3:uid="{92E247A2-CD8D-43E4-8897-F368CFB32C89}" name="k" dataDxfId="2">
      <calculatedColumnFormula>(Table195781011121314236172728151617187202325[[#This Row],[h]]*Table195781011121314236172728151617187202325[[#This Row],[i]])</calculatedColumnFormula>
    </tableColumn>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B3C64-E4D5-4B7F-8AEE-78C03EA01DC0}">
  <sheetPr codeName="Sheet1"/>
  <dimension ref="A1:N13"/>
  <sheetViews>
    <sheetView showGridLines="0" tabSelected="1" workbookViewId="0">
      <selection activeCell="A16" sqref="A16"/>
    </sheetView>
  </sheetViews>
  <sheetFormatPr defaultColWidth="8.88671875" defaultRowHeight="16.8"/>
  <cols>
    <col min="1" max="1" width="31" style="340" customWidth="1"/>
    <col min="2" max="2" width="148.88671875" style="340" customWidth="1"/>
    <col min="3" max="16384" width="8.88671875" style="340"/>
  </cols>
  <sheetData>
    <row r="1" spans="1:14" ht="22.2" thickBot="1">
      <c r="A1" s="670" t="s">
        <v>221</v>
      </c>
      <c r="B1" s="671"/>
    </row>
    <row r="2" spans="1:14" ht="82.5" customHeight="1">
      <c r="A2" s="672" t="s">
        <v>277</v>
      </c>
      <c r="B2" s="673"/>
      <c r="C2" s="520"/>
      <c r="D2" s="520"/>
      <c r="E2" s="520"/>
      <c r="F2" s="520"/>
      <c r="G2" s="520"/>
      <c r="H2" s="520"/>
      <c r="I2" s="520"/>
      <c r="J2" s="520"/>
      <c r="K2" s="520"/>
      <c r="L2" s="520"/>
      <c r="M2" s="520"/>
    </row>
    <row r="4" spans="1:14">
      <c r="A4" s="535" t="s">
        <v>223</v>
      </c>
      <c r="B4" s="535" t="s">
        <v>222</v>
      </c>
    </row>
    <row r="5" spans="1:14" ht="27.75" customHeight="1">
      <c r="A5" s="536" t="s">
        <v>236</v>
      </c>
      <c r="B5" s="537" t="s">
        <v>278</v>
      </c>
    </row>
    <row r="6" spans="1:14" ht="28.8">
      <c r="A6" s="536" t="s">
        <v>224</v>
      </c>
      <c r="B6" s="537" t="s">
        <v>237</v>
      </c>
    </row>
    <row r="7" spans="1:14" ht="37.5" customHeight="1">
      <c r="A7" s="536" t="s">
        <v>225</v>
      </c>
      <c r="B7" s="537" t="s">
        <v>228</v>
      </c>
    </row>
    <row r="8" spans="1:14" ht="28.8">
      <c r="A8" s="536" t="s">
        <v>227</v>
      </c>
      <c r="B8" s="537" t="s">
        <v>244</v>
      </c>
    </row>
    <row r="9" spans="1:14">
      <c r="A9" s="536" t="s">
        <v>229</v>
      </c>
      <c r="B9" s="537" t="s">
        <v>279</v>
      </c>
    </row>
    <row r="10" spans="1:14" ht="28.8">
      <c r="A10" s="536" t="s">
        <v>230</v>
      </c>
      <c r="B10" s="537" t="s">
        <v>243</v>
      </c>
    </row>
    <row r="11" spans="1:14">
      <c r="A11" s="521" t="s">
        <v>231</v>
      </c>
      <c r="B11" s="522" t="s">
        <v>233</v>
      </c>
    </row>
    <row r="12" spans="1:14" ht="17.399999999999999" thickBot="1">
      <c r="A12" s="523"/>
      <c r="B12" s="523"/>
      <c r="C12"/>
      <c r="D12"/>
      <c r="E12"/>
      <c r="F12"/>
      <c r="G12"/>
      <c r="H12"/>
      <c r="I12"/>
      <c r="J12"/>
      <c r="K12"/>
      <c r="L12"/>
      <c r="M12"/>
      <c r="N12"/>
    </row>
    <row r="13" spans="1:14" ht="134.25" customHeight="1" thickBot="1">
      <c r="A13" s="524" t="s">
        <v>232</v>
      </c>
      <c r="B13" s="616" t="s">
        <v>273</v>
      </c>
      <c r="C13"/>
      <c r="D13"/>
      <c r="E13"/>
      <c r="F13"/>
      <c r="G13"/>
      <c r="H13"/>
      <c r="I13"/>
      <c r="J13"/>
      <c r="K13"/>
      <c r="L13"/>
      <c r="M13"/>
      <c r="N13"/>
    </row>
  </sheetData>
  <mergeCells count="2">
    <mergeCell ref="A1:B1"/>
    <mergeCell ref="A2:B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CC61"/>
  <sheetViews>
    <sheetView showGridLines="0" zoomScale="85" zoomScaleNormal="85" workbookViewId="0">
      <selection activeCell="D8" sqref="D8"/>
    </sheetView>
  </sheetViews>
  <sheetFormatPr defaultColWidth="8.88671875" defaultRowHeight="16.8"/>
  <cols>
    <col min="1" max="1" width="108.88671875" style="340" bestFit="1" customWidth="1"/>
    <col min="2" max="2" width="28.21875" style="340" customWidth="1"/>
    <col min="3" max="3" width="23.6640625" style="340" customWidth="1"/>
    <col min="4" max="4" width="58.88671875" style="340" customWidth="1"/>
    <col min="5" max="5" width="7.6640625" style="340" customWidth="1"/>
    <col min="6" max="6" width="4.44140625" style="340" customWidth="1"/>
    <col min="7" max="7" width="8.88671875" style="340"/>
    <col min="8" max="8" width="10.21875" style="340" customWidth="1"/>
    <col min="9" max="9" width="9.44140625" style="340" customWidth="1"/>
    <col min="10" max="10" width="18.6640625" style="340" customWidth="1"/>
    <col min="11" max="11" width="15.44140625" style="340" customWidth="1"/>
    <col min="12" max="12" width="17" style="340" customWidth="1"/>
    <col min="13" max="16384" width="8.88671875" style="340"/>
  </cols>
  <sheetData>
    <row r="1" spans="1:81">
      <c r="A1" s="369" t="s">
        <v>104</v>
      </c>
    </row>
    <row r="3" spans="1:81">
      <c r="A3" s="496" t="s">
        <v>23</v>
      </c>
      <c r="B3" s="497">
        <v>2026</v>
      </c>
      <c r="C3" s="340" t="s">
        <v>24</v>
      </c>
    </row>
    <row r="4" spans="1:81">
      <c r="A4" s="369"/>
      <c r="G4" s="343"/>
      <c r="H4" s="498"/>
      <c r="I4" s="498"/>
      <c r="J4" s="498"/>
      <c r="K4" s="498"/>
      <c r="L4" s="345"/>
    </row>
    <row r="5" spans="1:81">
      <c r="A5" s="499" t="s">
        <v>25</v>
      </c>
      <c r="B5" s="500"/>
      <c r="C5" s="526"/>
      <c r="D5" s="526" t="s">
        <v>238</v>
      </c>
      <c r="G5" s="352" t="s">
        <v>183</v>
      </c>
      <c r="L5" s="381"/>
    </row>
    <row r="6" spans="1:81" ht="33" customHeight="1">
      <c r="A6" s="527" t="s">
        <v>297</v>
      </c>
      <c r="B6" s="528">
        <f>AVERAGE(K17:K21)</f>
        <v>2.6740000000000003E-2</v>
      </c>
      <c r="C6" s="527" t="s">
        <v>24</v>
      </c>
      <c r="D6" s="533" t="s">
        <v>260</v>
      </c>
      <c r="G6" s="352"/>
      <c r="L6" s="381"/>
      <c r="AA6" s="501"/>
      <c r="AB6" s="674"/>
      <c r="AC6" s="674"/>
    </row>
    <row r="7" spans="1:81" ht="33.6">
      <c r="A7" s="527" t="s">
        <v>295</v>
      </c>
      <c r="B7" s="528">
        <f>AVERAGE(K10:K14)</f>
        <v>4.496E-2</v>
      </c>
      <c r="C7" s="527" t="s">
        <v>24</v>
      </c>
      <c r="D7" s="533" t="s">
        <v>250</v>
      </c>
      <c r="G7" s="352"/>
      <c r="L7" s="381"/>
      <c r="AA7" s="502"/>
    </row>
    <row r="8" spans="1:81" ht="33.6">
      <c r="A8" s="527" t="s">
        <v>296</v>
      </c>
      <c r="B8" s="528">
        <v>0</v>
      </c>
      <c r="C8" s="527" t="s">
        <v>24</v>
      </c>
      <c r="D8" s="533" t="s">
        <v>294</v>
      </c>
      <c r="G8" s="352" t="s">
        <v>184</v>
      </c>
      <c r="J8" s="369" t="s">
        <v>9</v>
      </c>
      <c r="K8" s="369" t="s">
        <v>251</v>
      </c>
      <c r="L8" s="381"/>
      <c r="AA8" s="502"/>
    </row>
    <row r="9" spans="1:81">
      <c r="B9" s="504"/>
      <c r="D9" s="632"/>
      <c r="G9" s="352"/>
      <c r="J9" s="369"/>
      <c r="K9" s="369"/>
      <c r="L9" s="381"/>
      <c r="AA9" s="502"/>
    </row>
    <row r="10" spans="1:81">
      <c r="A10" s="508" t="s">
        <v>86</v>
      </c>
      <c r="B10" s="675" t="s">
        <v>79</v>
      </c>
      <c r="C10" s="676"/>
      <c r="G10" s="352"/>
      <c r="J10" s="556">
        <v>2025</v>
      </c>
      <c r="K10" s="557">
        <v>4.6100000000000002E-2</v>
      </c>
      <c r="L10" s="381"/>
      <c r="N10" s="525"/>
      <c r="AA10" s="502"/>
    </row>
    <row r="11" spans="1:81" ht="18.45" customHeight="1">
      <c r="B11" s="627" t="s">
        <v>274</v>
      </c>
      <c r="C11" s="628" t="s">
        <v>275</v>
      </c>
      <c r="G11" s="352"/>
      <c r="H11" s="369"/>
      <c r="J11" s="556">
        <v>2024</v>
      </c>
      <c r="K11" s="557">
        <v>5.1900000000000002E-2</v>
      </c>
      <c r="L11" s="381"/>
      <c r="N11" s="525"/>
    </row>
    <row r="12" spans="1:81">
      <c r="A12" s="527" t="s">
        <v>87</v>
      </c>
      <c r="B12" s="629">
        <v>0.35</v>
      </c>
      <c r="C12" s="630">
        <v>0.5</v>
      </c>
      <c r="G12" s="352"/>
      <c r="J12" s="556">
        <v>2023</v>
      </c>
      <c r="K12" s="557">
        <v>5.2699999999999997E-2</v>
      </c>
      <c r="L12" s="381"/>
      <c r="M12" s="506"/>
      <c r="N12" s="525"/>
      <c r="O12" s="506"/>
      <c r="P12" s="506"/>
      <c r="Q12" s="506"/>
      <c r="R12" s="506"/>
      <c r="S12" s="506"/>
      <c r="T12" s="506"/>
      <c r="U12" s="506"/>
      <c r="V12" s="506"/>
      <c r="W12" s="506"/>
      <c r="X12" s="506"/>
      <c r="Y12" s="506"/>
      <c r="Z12" s="506"/>
      <c r="AA12" s="506"/>
      <c r="AB12" s="506"/>
      <c r="AC12" s="506"/>
      <c r="AD12" s="506"/>
      <c r="AE12" s="506"/>
      <c r="AF12" s="506"/>
      <c r="AG12" s="506"/>
      <c r="AH12" s="506"/>
      <c r="AI12" s="506"/>
      <c r="AJ12" s="506"/>
      <c r="AK12" s="506"/>
      <c r="AL12" s="506"/>
      <c r="AM12" s="506"/>
      <c r="AN12" s="506"/>
      <c r="AO12" s="506"/>
      <c r="AP12" s="506"/>
      <c r="AQ12" s="506"/>
      <c r="AR12" s="506"/>
      <c r="AS12" s="506"/>
      <c r="AT12" s="506"/>
      <c r="AU12" s="506"/>
      <c r="AV12" s="506"/>
      <c r="AW12" s="506"/>
      <c r="AX12" s="506"/>
      <c r="AY12" s="506"/>
      <c r="AZ12" s="506"/>
      <c r="BA12" s="506"/>
      <c r="BB12" s="506"/>
      <c r="BC12" s="506"/>
      <c r="BD12" s="506"/>
      <c r="BE12" s="506"/>
      <c r="BF12" s="506"/>
      <c r="BG12" s="506"/>
      <c r="BH12" s="506"/>
      <c r="BI12" s="506"/>
      <c r="BJ12" s="506"/>
      <c r="BK12" s="506"/>
      <c r="BL12" s="506"/>
      <c r="BM12" s="506"/>
      <c r="BN12" s="506"/>
      <c r="BO12" s="506"/>
      <c r="BP12" s="506"/>
      <c r="BQ12" s="506"/>
      <c r="BR12" s="506"/>
      <c r="BS12" s="506"/>
      <c r="BT12" s="506"/>
      <c r="BU12" s="506"/>
      <c r="BV12" s="506"/>
      <c r="BW12" s="506"/>
      <c r="BX12" s="506"/>
      <c r="BY12" s="506"/>
      <c r="BZ12" s="506"/>
      <c r="CA12" s="506"/>
      <c r="CB12" s="506"/>
      <c r="CC12" s="506"/>
    </row>
    <row r="13" spans="1:81">
      <c r="A13" s="527" t="s">
        <v>88</v>
      </c>
      <c r="B13" s="629">
        <v>0.25</v>
      </c>
      <c r="C13" s="631">
        <v>0.35</v>
      </c>
      <c r="G13" s="352"/>
      <c r="J13" s="556">
        <v>2022</v>
      </c>
      <c r="K13" s="557">
        <v>4.6199999999999998E-2</v>
      </c>
      <c r="L13" s="381"/>
      <c r="M13" s="507"/>
      <c r="N13" s="507"/>
      <c r="O13" s="507"/>
      <c r="P13" s="507"/>
      <c r="Q13" s="507"/>
      <c r="R13" s="507"/>
      <c r="S13" s="507"/>
      <c r="T13" s="507"/>
      <c r="U13" s="507"/>
      <c r="V13" s="507"/>
      <c r="W13" s="507"/>
      <c r="X13" s="507"/>
      <c r="Y13" s="507"/>
      <c r="Z13" s="507"/>
      <c r="AA13" s="507"/>
      <c r="AB13" s="507"/>
      <c r="AC13" s="507"/>
      <c r="AD13" s="507"/>
      <c r="AE13" s="507"/>
      <c r="AF13" s="507"/>
      <c r="AG13" s="507"/>
      <c r="AH13" s="507"/>
      <c r="AI13" s="507"/>
      <c r="AJ13" s="507"/>
      <c r="AK13" s="507"/>
      <c r="AL13" s="507"/>
      <c r="AM13" s="507"/>
      <c r="AN13" s="507"/>
      <c r="AO13" s="507"/>
      <c r="AP13" s="507"/>
      <c r="AQ13" s="507"/>
      <c r="AR13" s="507"/>
      <c r="AS13" s="507"/>
      <c r="AT13" s="507"/>
      <c r="AU13" s="507"/>
      <c r="AV13" s="507"/>
      <c r="AW13" s="507"/>
      <c r="AX13" s="507"/>
      <c r="AY13" s="507"/>
      <c r="AZ13" s="507"/>
      <c r="BA13" s="507"/>
      <c r="BB13" s="507"/>
      <c r="BC13" s="507"/>
      <c r="BD13" s="507"/>
      <c r="BE13" s="507"/>
      <c r="BF13" s="507"/>
      <c r="BG13" s="507"/>
      <c r="BH13" s="507"/>
      <c r="BI13" s="507"/>
      <c r="BJ13" s="507"/>
      <c r="BK13" s="507"/>
      <c r="BL13" s="507"/>
      <c r="BM13" s="507"/>
      <c r="BN13" s="507"/>
      <c r="BO13" s="507"/>
      <c r="BP13" s="507"/>
      <c r="BQ13" s="507"/>
      <c r="BR13" s="507"/>
      <c r="BS13" s="507"/>
      <c r="BT13" s="507"/>
      <c r="BU13" s="507"/>
      <c r="BV13" s="507"/>
      <c r="BW13" s="507"/>
      <c r="BX13" s="507"/>
      <c r="BY13" s="507"/>
      <c r="BZ13" s="507"/>
      <c r="CA13" s="507"/>
      <c r="CB13" s="507"/>
      <c r="CC13" s="507"/>
    </row>
    <row r="14" spans="1:81" ht="18.75" customHeight="1">
      <c r="A14" s="527" t="s">
        <v>89</v>
      </c>
      <c r="B14" s="629">
        <v>0.15</v>
      </c>
      <c r="C14" s="631">
        <v>0.25</v>
      </c>
      <c r="G14" s="352"/>
      <c r="I14" s="558"/>
      <c r="J14" s="556">
        <v>2021</v>
      </c>
      <c r="K14" s="557">
        <v>2.7900000000000001E-2</v>
      </c>
      <c r="L14" s="505"/>
    </row>
    <row r="15" spans="1:81">
      <c r="A15" s="527" t="s">
        <v>90</v>
      </c>
      <c r="B15" s="629">
        <v>0.1</v>
      </c>
      <c r="C15" s="631">
        <v>0.15</v>
      </c>
      <c r="G15" s="352"/>
      <c r="I15" s="558"/>
      <c r="J15" s="558"/>
      <c r="K15" s="558"/>
      <c r="L15" s="505"/>
    </row>
    <row r="16" spans="1:81">
      <c r="G16" s="352" t="s">
        <v>261</v>
      </c>
      <c r="I16" s="558"/>
      <c r="J16" s="369" t="s">
        <v>9</v>
      </c>
      <c r="K16" s="369" t="s">
        <v>256</v>
      </c>
      <c r="L16" s="505"/>
    </row>
    <row r="17" spans="1:12">
      <c r="A17" s="511" t="s">
        <v>257</v>
      </c>
      <c r="B17" s="574"/>
      <c r="G17" s="352"/>
      <c r="J17" s="556">
        <v>2025</v>
      </c>
      <c r="K17" s="504">
        <v>3.0599999999999999E-2</v>
      </c>
      <c r="L17" s="381"/>
    </row>
    <row r="18" spans="1:12">
      <c r="A18" s="529" t="s">
        <v>239</v>
      </c>
      <c r="B18" s="530">
        <v>2.5000000000000001E-2</v>
      </c>
      <c r="G18" s="352"/>
      <c r="J18" s="556">
        <v>2024</v>
      </c>
      <c r="K18" s="504">
        <v>2.75E-2</v>
      </c>
      <c r="L18" s="381"/>
    </row>
    <row r="19" spans="1:12">
      <c r="A19" s="527" t="s">
        <v>240</v>
      </c>
      <c r="B19" s="528">
        <v>2.5000000000000001E-2</v>
      </c>
      <c r="G19" s="352"/>
      <c r="J19" s="556">
        <v>2023</v>
      </c>
      <c r="K19" s="504">
        <v>2.8500000000000001E-2</v>
      </c>
      <c r="L19" s="381"/>
    </row>
    <row r="20" spans="1:12">
      <c r="A20" s="527" t="s">
        <v>241</v>
      </c>
      <c r="B20" s="528">
        <v>0.05</v>
      </c>
      <c r="G20" s="352"/>
      <c r="J20" s="556">
        <v>2022</v>
      </c>
      <c r="K20" s="504">
        <v>2.1999999999999999E-2</v>
      </c>
      <c r="L20" s="381"/>
    </row>
    <row r="21" spans="1:12">
      <c r="B21" s="501"/>
      <c r="G21" s="503"/>
      <c r="H21" s="575"/>
      <c r="I21" s="575"/>
      <c r="J21" s="576">
        <v>2021</v>
      </c>
      <c r="K21" s="577">
        <v>2.5100000000000001E-2</v>
      </c>
      <c r="L21" s="578"/>
    </row>
    <row r="22" spans="1:12">
      <c r="A22" s="508" t="s">
        <v>102</v>
      </c>
      <c r="B22" s="509"/>
      <c r="K22" s="525"/>
    </row>
    <row r="23" spans="1:12">
      <c r="A23" s="365" t="s">
        <v>103</v>
      </c>
      <c r="B23" s="510">
        <v>0.02</v>
      </c>
    </row>
    <row r="25" spans="1:12">
      <c r="A25" s="511" t="s">
        <v>28</v>
      </c>
      <c r="B25" s="512"/>
      <c r="J25" s="504"/>
      <c r="K25" s="507"/>
    </row>
    <row r="26" spans="1:12">
      <c r="A26" s="652" t="s">
        <v>289</v>
      </c>
      <c r="B26" s="650">
        <v>0.4</v>
      </c>
      <c r="J26" s="504"/>
      <c r="K26" s="507"/>
    </row>
    <row r="27" spans="1:12">
      <c r="A27" s="652" t="s">
        <v>288</v>
      </c>
      <c r="B27" s="650">
        <v>0.3</v>
      </c>
      <c r="J27" s="504"/>
      <c r="K27" s="507"/>
    </row>
    <row r="28" spans="1:12">
      <c r="A28" s="653" t="s">
        <v>287</v>
      </c>
      <c r="B28" s="651">
        <v>0.3</v>
      </c>
      <c r="J28" s="504"/>
      <c r="K28" s="507"/>
    </row>
    <row r="29" spans="1:12" ht="17.399999999999999" thickBot="1">
      <c r="J29" s="504"/>
      <c r="K29" s="507"/>
    </row>
    <row r="30" spans="1:12">
      <c r="A30" s="513" t="s">
        <v>177</v>
      </c>
      <c r="B30" s="514"/>
      <c r="J30" s="504"/>
      <c r="K30" s="507"/>
    </row>
    <row r="31" spans="1:12">
      <c r="A31" s="633" t="s">
        <v>42</v>
      </c>
      <c r="B31" s="634">
        <f>SUM(B32:B33)</f>
        <v>-27203067.10451648</v>
      </c>
      <c r="J31" s="504"/>
      <c r="K31" s="507"/>
    </row>
    <row r="32" spans="1:12">
      <c r="A32" s="635" t="s">
        <v>50</v>
      </c>
      <c r="B32" s="636">
        <f>'2026 Collections Summary'!B2</f>
        <v>-25813740.655599531</v>
      </c>
      <c r="J32" s="504"/>
      <c r="K32" s="507"/>
    </row>
    <row r="33" spans="1:11">
      <c r="A33" s="635" t="s">
        <v>51</v>
      </c>
      <c r="B33" s="636">
        <f>'2026 Collections Summary'!B3</f>
        <v>-1389326.4489169477</v>
      </c>
      <c r="J33" s="504"/>
      <c r="K33" s="507"/>
    </row>
    <row r="34" spans="1:11" ht="17.399999999999999" thickBot="1">
      <c r="A34" s="648" t="s">
        <v>276</v>
      </c>
      <c r="B34" s="649">
        <f>0</f>
        <v>0</v>
      </c>
      <c r="J34" s="504"/>
      <c r="K34" s="507"/>
    </row>
    <row r="35" spans="1:11">
      <c r="J35" s="504"/>
      <c r="K35" s="507"/>
    </row>
    <row r="36" spans="1:11">
      <c r="J36" s="504"/>
      <c r="K36" s="507"/>
    </row>
    <row r="37" spans="1:11">
      <c r="J37" s="504"/>
      <c r="K37" s="507"/>
    </row>
    <row r="38" spans="1:11">
      <c r="J38" s="504"/>
      <c r="K38" s="507"/>
    </row>
    <row r="39" spans="1:11">
      <c r="J39" s="504"/>
      <c r="K39" s="507"/>
    </row>
    <row r="40" spans="1:11">
      <c r="J40" s="504"/>
      <c r="K40" s="507"/>
    </row>
    <row r="41" spans="1:11">
      <c r="J41" s="504"/>
      <c r="K41" s="507"/>
    </row>
    <row r="42" spans="1:11">
      <c r="J42" s="504"/>
      <c r="K42" s="507"/>
    </row>
    <row r="43" spans="1:11">
      <c r="J43" s="504"/>
      <c r="K43" s="507"/>
    </row>
    <row r="44" spans="1:11">
      <c r="J44" s="504"/>
      <c r="K44" s="507"/>
    </row>
    <row r="45" spans="1:11">
      <c r="J45" s="504"/>
      <c r="K45" s="507"/>
    </row>
    <row r="46" spans="1:11">
      <c r="J46" s="504"/>
      <c r="K46" s="507"/>
    </row>
    <row r="47" spans="1:11">
      <c r="J47" s="504"/>
      <c r="K47" s="507"/>
    </row>
    <row r="48" spans="1:11">
      <c r="J48" s="504"/>
      <c r="K48" s="507"/>
    </row>
    <row r="49" spans="10:11">
      <c r="J49" s="504"/>
      <c r="K49" s="507"/>
    </row>
    <row r="50" spans="10:11">
      <c r="J50" s="504"/>
      <c r="K50" s="507"/>
    </row>
    <row r="51" spans="10:11">
      <c r="J51" s="504"/>
      <c r="K51" s="507"/>
    </row>
    <row r="52" spans="10:11">
      <c r="J52" s="504"/>
      <c r="K52" s="507"/>
    </row>
    <row r="53" spans="10:11">
      <c r="J53" s="504"/>
      <c r="K53" s="507"/>
    </row>
    <row r="54" spans="10:11">
      <c r="J54" s="504"/>
      <c r="K54" s="507"/>
    </row>
    <row r="55" spans="10:11">
      <c r="J55" s="504"/>
      <c r="K55" s="507"/>
    </row>
    <row r="56" spans="10:11">
      <c r="J56" s="504"/>
      <c r="K56" s="507"/>
    </row>
    <row r="57" spans="10:11">
      <c r="J57" s="504"/>
      <c r="K57" s="507"/>
    </row>
    <row r="58" spans="10:11">
      <c r="J58" s="504"/>
      <c r="K58" s="507"/>
    </row>
    <row r="59" spans="10:11">
      <c r="J59" s="504"/>
      <c r="K59" s="507"/>
    </row>
    <row r="60" spans="10:11">
      <c r="J60" s="504"/>
      <c r="K60" s="507"/>
    </row>
    <row r="61" spans="10:11">
      <c r="J61" s="504"/>
      <c r="K61" s="507"/>
    </row>
  </sheetData>
  <mergeCells count="2">
    <mergeCell ref="AB6:AC6"/>
    <mergeCell ref="B10:C10"/>
  </mergeCells>
  <pageMargins left="0.7" right="0.7" top="0.75" bottom="0.75" header="0.3" footer="0.3"/>
  <pageSetup scale="1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97609-5CD0-4EFA-B073-8EE6C0E033B0}">
  <sheetPr codeName="Sheet3"/>
  <dimension ref="A1:E34"/>
  <sheetViews>
    <sheetView showGridLines="0" zoomScale="85" zoomScaleNormal="85" workbookViewId="0">
      <selection activeCell="K26" sqref="K26"/>
    </sheetView>
  </sheetViews>
  <sheetFormatPr defaultColWidth="8.88671875" defaultRowHeight="16.8"/>
  <cols>
    <col min="1" max="1" width="41.5546875" style="340" customWidth="1"/>
    <col min="2" max="2" width="24.5546875" style="340" customWidth="1"/>
    <col min="3" max="3" width="24.21875" style="340" bestFit="1" customWidth="1"/>
    <col min="4" max="4" width="31.109375" style="340" customWidth="1"/>
    <col min="5" max="16384" width="8.88671875" style="340"/>
  </cols>
  <sheetData>
    <row r="1" spans="1:5">
      <c r="A1" s="678" t="s">
        <v>187</v>
      </c>
      <c r="B1" s="678"/>
    </row>
    <row r="2" spans="1:5">
      <c r="A2" s="638" t="s">
        <v>188</v>
      </c>
      <c r="B2" s="639">
        <v>-25813740.655599531</v>
      </c>
    </row>
    <row r="3" spans="1:5">
      <c r="A3" s="638" t="s">
        <v>189</v>
      </c>
      <c r="B3" s="639">
        <v>-1389326.4489169477</v>
      </c>
    </row>
    <row r="5" spans="1:5" ht="17.399999999999999" thickBot="1">
      <c r="A5" s="677" t="s">
        <v>206</v>
      </c>
      <c r="B5" s="677"/>
      <c r="C5" s="677"/>
      <c r="D5" s="677"/>
    </row>
    <row r="6" spans="1:5" ht="37.5" customHeight="1">
      <c r="A6" s="473" t="s">
        <v>190</v>
      </c>
      <c r="B6" s="465" t="s">
        <v>188</v>
      </c>
      <c r="C6" s="465" t="s">
        <v>189</v>
      </c>
      <c r="D6" s="474" t="s">
        <v>191</v>
      </c>
    </row>
    <row r="7" spans="1:5">
      <c r="A7" s="466" t="s">
        <v>209</v>
      </c>
      <c r="B7" s="475">
        <f>41559*D7</f>
        <v>784841.71500000008</v>
      </c>
      <c r="C7" s="475">
        <f>12574*D7</f>
        <v>237459.99000000002</v>
      </c>
      <c r="D7" s="476">
        <v>18.885000000000002</v>
      </c>
    </row>
    <row r="8" spans="1:5">
      <c r="A8" s="468" t="s">
        <v>210</v>
      </c>
      <c r="B8" s="467">
        <f t="shared" ref="B8:B9" si="0">41559*D8</f>
        <v>516079.66199999995</v>
      </c>
      <c r="C8" s="467">
        <f t="shared" ref="C8:C9" si="1">12574*D8</f>
        <v>156143.932</v>
      </c>
      <c r="D8" s="477">
        <v>12.417999999999999</v>
      </c>
    </row>
    <row r="9" spans="1:5">
      <c r="A9" s="478" t="s">
        <v>211</v>
      </c>
      <c r="B9" s="479">
        <f t="shared" si="0"/>
        <v>404119.71600000001</v>
      </c>
      <c r="C9" s="479">
        <f t="shared" si="1"/>
        <v>122269.576</v>
      </c>
      <c r="D9" s="480">
        <v>9.7240000000000002</v>
      </c>
    </row>
    <row r="10" spans="1:5" ht="17.399999999999999" thickBot="1">
      <c r="A10" s="470" t="s">
        <v>226</v>
      </c>
      <c r="B10" s="471">
        <f t="shared" ref="B10:D10" si="2">SUM(B7:B9)</f>
        <v>1705041.0930000001</v>
      </c>
      <c r="C10" s="471">
        <f t="shared" si="2"/>
        <v>515873.49800000002</v>
      </c>
      <c r="D10" s="481">
        <f t="shared" si="2"/>
        <v>41.027000000000001</v>
      </c>
    </row>
    <row r="11" spans="1:5">
      <c r="A11" s="468" t="s">
        <v>212</v>
      </c>
      <c r="B11" s="467"/>
      <c r="C11" s="467"/>
      <c r="D11" s="477">
        <v>4.6639999999999997</v>
      </c>
    </row>
    <row r="12" spans="1:5">
      <c r="A12" s="468" t="s">
        <v>213</v>
      </c>
      <c r="B12" s="467"/>
      <c r="C12" s="467"/>
      <c r="D12" s="477">
        <v>3.79</v>
      </c>
    </row>
    <row r="13" spans="1:5">
      <c r="A13" s="468" t="s">
        <v>214</v>
      </c>
      <c r="B13" s="467"/>
      <c r="C13" s="467"/>
      <c r="D13" s="477">
        <v>3.34</v>
      </c>
    </row>
    <row r="14" spans="1:5">
      <c r="A14" s="478" t="s">
        <v>215</v>
      </c>
      <c r="B14" s="479"/>
      <c r="C14" s="479"/>
      <c r="D14" s="480">
        <v>6.6820000000000004</v>
      </c>
    </row>
    <row r="15" spans="1:5" ht="17.399999999999999" thickBot="1">
      <c r="A15" s="470" t="s">
        <v>271</v>
      </c>
      <c r="B15" s="580"/>
      <c r="C15" s="580"/>
      <c r="D15" s="579">
        <f>SUM(D11:D14)</f>
        <v>18.475999999999999</v>
      </c>
      <c r="E15" s="614" t="s">
        <v>272</v>
      </c>
    </row>
    <row r="16" spans="1:5">
      <c r="A16" s="562"/>
      <c r="B16" s="563"/>
      <c r="C16" s="563"/>
      <c r="D16" s="494"/>
    </row>
    <row r="17" spans="1:4" ht="17.399999999999999" thickBot="1">
      <c r="A17" s="534" t="s">
        <v>258</v>
      </c>
      <c r="B17" s="534"/>
      <c r="C17" s="534"/>
      <c r="D17" s="482"/>
    </row>
    <row r="18" spans="1:4" ht="49.5" customHeight="1">
      <c r="A18" s="464"/>
      <c r="B18" s="465" t="s">
        <v>188</v>
      </c>
      <c r="C18" s="483" t="s">
        <v>189</v>
      </c>
      <c r="D18" s="484"/>
    </row>
    <row r="19" spans="1:4">
      <c r="A19" s="485" t="s">
        <v>216</v>
      </c>
      <c r="B19" s="486">
        <f>B29</f>
        <v>256389.23</v>
      </c>
      <c r="C19" s="487">
        <f>C29</f>
        <v>77610.790000000008</v>
      </c>
      <c r="D19" s="488"/>
    </row>
    <row r="20" spans="1:4">
      <c r="A20" s="489" t="s">
        <v>217</v>
      </c>
      <c r="B20" s="490">
        <f>B10/2</f>
        <v>852520.54650000005</v>
      </c>
      <c r="C20" s="491">
        <f>C10/2</f>
        <v>257936.74900000001</v>
      </c>
      <c r="D20" s="492" t="s">
        <v>218</v>
      </c>
    </row>
    <row r="21" spans="1:4" ht="17.399999999999999" thickBot="1">
      <c r="A21" s="470" t="s">
        <v>219</v>
      </c>
      <c r="B21" s="471">
        <f>SUM(B19:B20)</f>
        <v>1108909.7765000002</v>
      </c>
      <c r="C21" s="493">
        <f>SUM(C19:C20)</f>
        <v>335547.53899999999</v>
      </c>
      <c r="D21" s="494"/>
    </row>
    <row r="22" spans="1:4">
      <c r="A22" s="562"/>
      <c r="B22" s="563"/>
      <c r="C22" s="563"/>
      <c r="D22" s="494"/>
    </row>
    <row r="23" spans="1:4" ht="17.399999999999999" thickBot="1">
      <c r="A23" s="534" t="s">
        <v>259</v>
      </c>
      <c r="B23" s="581"/>
      <c r="C23" s="581"/>
      <c r="D23" s="581"/>
    </row>
    <row r="24" spans="1:4" ht="53.25" customHeight="1" thickBot="1">
      <c r="A24" s="559" t="s">
        <v>190</v>
      </c>
      <c r="B24" s="560" t="s">
        <v>188</v>
      </c>
      <c r="C24" s="560" t="s">
        <v>189</v>
      </c>
      <c r="D24" s="561" t="s">
        <v>191</v>
      </c>
    </row>
    <row r="25" spans="1:4">
      <c r="A25" s="468" t="s">
        <v>192</v>
      </c>
      <c r="B25" s="467">
        <v>10845.51</v>
      </c>
      <c r="C25" s="467">
        <v>3322.125</v>
      </c>
      <c r="D25" s="469">
        <v>0.53900000000000003</v>
      </c>
    </row>
    <row r="26" spans="1:4">
      <c r="A26" s="468" t="s">
        <v>193</v>
      </c>
      <c r="B26" s="467">
        <v>26666.95</v>
      </c>
      <c r="C26" s="467">
        <v>8068.02</v>
      </c>
      <c r="D26" s="469">
        <v>1.3089999999999999</v>
      </c>
    </row>
    <row r="27" spans="1:4">
      <c r="A27" s="468" t="s">
        <v>194</v>
      </c>
      <c r="B27" s="467">
        <v>154195.67000000001</v>
      </c>
      <c r="C27" s="467">
        <v>46651.53</v>
      </c>
      <c r="D27" s="469">
        <v>7.569</v>
      </c>
    </row>
    <row r="28" spans="1:4">
      <c r="A28" s="468" t="s">
        <v>195</v>
      </c>
      <c r="B28" s="467">
        <v>64681.1</v>
      </c>
      <c r="C28" s="467">
        <v>19569.115000000002</v>
      </c>
      <c r="D28" s="469">
        <v>3.1749999999999998</v>
      </c>
    </row>
    <row r="29" spans="1:4" ht="17.399999999999999" thickBot="1">
      <c r="A29" s="470" t="s">
        <v>10</v>
      </c>
      <c r="B29" s="471">
        <f t="shared" ref="B29:D29" si="3">SUM(B25:B28)</f>
        <v>256389.23</v>
      </c>
      <c r="C29" s="471">
        <f t="shared" si="3"/>
        <v>77610.790000000008</v>
      </c>
      <c r="D29" s="472">
        <f t="shared" si="3"/>
        <v>12.591999999999999</v>
      </c>
    </row>
    <row r="30" spans="1:4">
      <c r="A30" s="562"/>
      <c r="B30" s="563"/>
      <c r="C30" s="563"/>
      <c r="D30" s="494"/>
    </row>
    <row r="31" spans="1:4" ht="17.399999999999999" thickBot="1">
      <c r="A31" s="677" t="s">
        <v>220</v>
      </c>
      <c r="B31" s="677"/>
      <c r="C31" s="677"/>
      <c r="D31" s="482"/>
    </row>
    <row r="32" spans="1:4" ht="56.25" customHeight="1">
      <c r="A32" s="464"/>
      <c r="B32" s="465" t="s">
        <v>188</v>
      </c>
      <c r="C32" s="483" t="s">
        <v>189</v>
      </c>
      <c r="D32" s="484"/>
    </row>
    <row r="33" spans="1:4">
      <c r="A33" s="478" t="s">
        <v>217</v>
      </c>
      <c r="B33" s="479">
        <f>B10/2</f>
        <v>852520.54650000005</v>
      </c>
      <c r="C33" s="495">
        <f>C10/2</f>
        <v>257936.74900000001</v>
      </c>
      <c r="D33" s="492"/>
    </row>
    <row r="34" spans="1:4" ht="17.399999999999999" thickBot="1">
      <c r="A34" s="470" t="s">
        <v>220</v>
      </c>
      <c r="B34" s="471">
        <f t="shared" ref="B34:C34" si="4">SUM(B33:B33)</f>
        <v>852520.54650000005</v>
      </c>
      <c r="C34" s="493">
        <f t="shared" si="4"/>
        <v>257936.74900000001</v>
      </c>
      <c r="D34" s="494"/>
    </row>
  </sheetData>
  <mergeCells count="3">
    <mergeCell ref="A31:C31"/>
    <mergeCell ref="A5:D5"/>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014F3-2BE5-4C6A-8135-B7663A62EC1B}">
  <sheetPr codeName="Sheet4"/>
  <dimension ref="A1:AY62"/>
  <sheetViews>
    <sheetView showGridLines="0" zoomScale="70" zoomScaleNormal="70" workbookViewId="0">
      <selection activeCell="P5" sqref="P5"/>
    </sheetView>
  </sheetViews>
  <sheetFormatPr defaultColWidth="8.88671875" defaultRowHeight="16.8"/>
  <cols>
    <col min="1" max="1" width="56" style="340" customWidth="1"/>
    <col min="2" max="2" width="16.44140625" style="340" customWidth="1"/>
    <col min="3" max="3" width="8.88671875" style="340"/>
    <col min="4" max="4" width="27.109375" style="340" customWidth="1"/>
    <col min="5" max="5" width="28.6640625" style="340" customWidth="1"/>
    <col min="6" max="7" width="30.21875" style="340" customWidth="1"/>
    <col min="8" max="8" width="28.6640625" style="340" customWidth="1"/>
    <col min="9" max="9" width="28.5546875" style="340" customWidth="1"/>
    <col min="10" max="10" width="15.6640625" style="340" customWidth="1"/>
    <col min="11" max="11" width="16.6640625" style="340" bestFit="1" customWidth="1"/>
    <col min="12" max="12" width="16.21875" style="340" bestFit="1" customWidth="1"/>
    <col min="13" max="13" width="19.6640625" style="340" customWidth="1"/>
    <col min="14" max="14" width="21.6640625" style="340" customWidth="1"/>
    <col min="15" max="15" width="8.88671875" style="340"/>
    <col min="16" max="16" width="11.109375" style="340" customWidth="1"/>
    <col min="17" max="17" width="12.21875" style="340" customWidth="1"/>
    <col min="18" max="18" width="12.109375" style="340" customWidth="1"/>
    <col min="19" max="19" width="10.44140625" style="340" customWidth="1"/>
    <col min="20" max="20" width="8.88671875" style="340"/>
    <col min="21" max="21" width="12.88671875" style="340" customWidth="1"/>
    <col min="22" max="22" width="8.88671875" style="340"/>
    <col min="23" max="23" width="14" style="340" customWidth="1"/>
    <col min="24" max="26" width="8.88671875" style="340"/>
    <col min="27" max="27" width="14.88671875" style="340" customWidth="1"/>
    <col min="28" max="16384" width="8.88671875" style="340"/>
  </cols>
  <sheetData>
    <row r="1" spans="1:51" customFormat="1" ht="25.8">
      <c r="D1" s="232"/>
      <c r="E1" s="232"/>
      <c r="F1" s="232"/>
      <c r="G1" s="232"/>
      <c r="H1" s="232"/>
      <c r="I1" s="232"/>
    </row>
    <row r="2" spans="1:51" customFormat="1" ht="25.8">
      <c r="A2" s="162" t="s">
        <v>147</v>
      </c>
      <c r="B2" s="41"/>
      <c r="C2" s="41"/>
      <c r="D2" s="163"/>
      <c r="E2" s="163"/>
      <c r="F2" s="163"/>
      <c r="G2" s="163"/>
      <c r="H2" s="163"/>
      <c r="I2" s="163"/>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row>
    <row r="3" spans="1:51" customFormat="1" ht="25.8">
      <c r="A3" s="564" t="s">
        <v>280</v>
      </c>
      <c r="D3" s="232"/>
      <c r="E3" s="232"/>
      <c r="F3" s="232"/>
      <c r="G3" s="232"/>
      <c r="H3" s="232"/>
      <c r="I3" s="232"/>
      <c r="N3" s="49"/>
    </row>
    <row r="4" spans="1:51" ht="30.6">
      <c r="D4" s="367"/>
      <c r="E4" s="367"/>
      <c r="F4" s="367"/>
      <c r="G4" s="367"/>
      <c r="H4" s="367"/>
      <c r="I4" s="367"/>
      <c r="Q4" s="368"/>
      <c r="R4" s="368"/>
      <c r="S4" s="368"/>
      <c r="T4" s="368"/>
      <c r="U4" s="368"/>
      <c r="V4" s="368"/>
      <c r="W4" s="368"/>
      <c r="X4" s="368"/>
      <c r="Y4" s="368"/>
      <c r="Z4" s="368"/>
      <c r="AA4" s="368"/>
    </row>
    <row r="5" spans="1:51" ht="18.75" customHeight="1">
      <c r="K5" s="369" t="s">
        <v>144</v>
      </c>
      <c r="P5" s="370" t="s">
        <v>281</v>
      </c>
    </row>
    <row r="6" spans="1:51" ht="18.75" customHeight="1">
      <c r="A6" s="371" t="s">
        <v>252</v>
      </c>
      <c r="B6" s="538">
        <v>1</v>
      </c>
      <c r="D6" s="372" t="s">
        <v>172</v>
      </c>
      <c r="E6" s="373"/>
      <c r="F6" s="373"/>
      <c r="G6" s="373"/>
      <c r="H6" s="373"/>
      <c r="I6" s="374"/>
      <c r="K6" s="683" t="s">
        <v>134</v>
      </c>
      <c r="L6" s="684"/>
      <c r="M6" s="684"/>
      <c r="N6" s="685"/>
      <c r="P6" s="691" t="s">
        <v>134</v>
      </c>
      <c r="Q6" s="692"/>
      <c r="R6" s="692"/>
      <c r="S6" s="692"/>
      <c r="T6" s="692"/>
      <c r="U6" s="692"/>
      <c r="V6" s="692"/>
      <c r="W6" s="692"/>
      <c r="X6" s="692"/>
      <c r="Y6" s="693"/>
    </row>
    <row r="7" spans="1:51" ht="18.75" customHeight="1">
      <c r="D7" s="375"/>
      <c r="E7" s="376"/>
      <c r="F7" s="376"/>
      <c r="G7" s="376"/>
      <c r="H7" s="376"/>
      <c r="I7" s="377"/>
      <c r="K7" s="686" t="s">
        <v>145</v>
      </c>
      <c r="L7" s="687"/>
      <c r="M7" s="687"/>
      <c r="N7" s="688"/>
      <c r="P7" s="694" t="s">
        <v>145</v>
      </c>
      <c r="Q7" s="695"/>
      <c r="R7" s="695"/>
      <c r="S7" s="695"/>
      <c r="T7" s="695"/>
      <c r="U7" s="695"/>
      <c r="V7" s="695"/>
      <c r="W7" s="695"/>
      <c r="X7" s="695"/>
      <c r="Y7" s="696"/>
    </row>
    <row r="8" spans="1:51" ht="18.75" customHeight="1">
      <c r="A8" s="378" t="s">
        <v>166</v>
      </c>
      <c r="B8" s="345"/>
      <c r="D8" s="338"/>
      <c r="E8" s="341"/>
      <c r="F8" s="341"/>
      <c r="G8" s="341"/>
      <c r="H8" s="341"/>
      <c r="I8" s="379"/>
      <c r="K8" s="338"/>
      <c r="L8" s="341"/>
      <c r="M8" s="341"/>
      <c r="N8" s="342"/>
      <c r="P8" s="352"/>
      <c r="Q8" s="380"/>
      <c r="R8" s="380"/>
      <c r="S8" s="380"/>
      <c r="T8" s="380"/>
      <c r="U8" s="380"/>
      <c r="V8" s="380"/>
      <c r="W8" s="380"/>
      <c r="X8" s="380"/>
      <c r="Y8" s="381"/>
    </row>
    <row r="9" spans="1:51" ht="27.75" customHeight="1">
      <c r="A9" s="382" t="s">
        <v>167</v>
      </c>
      <c r="B9" s="383"/>
      <c r="D9" s="384" t="s">
        <v>9</v>
      </c>
      <c r="E9" s="385" t="s">
        <v>173</v>
      </c>
      <c r="F9" s="385" t="s">
        <v>196</v>
      </c>
      <c r="G9" s="385" t="s">
        <v>197</v>
      </c>
      <c r="H9" s="385" t="s">
        <v>186</v>
      </c>
      <c r="I9" s="386" t="s">
        <v>174</v>
      </c>
      <c r="K9" s="338"/>
      <c r="L9" s="341"/>
      <c r="M9" s="341"/>
      <c r="N9" s="342"/>
      <c r="P9" s="697" t="s">
        <v>135</v>
      </c>
      <c r="Q9" s="698"/>
      <c r="R9" s="698" t="s">
        <v>136</v>
      </c>
      <c r="S9" s="698"/>
      <c r="T9" s="698" t="s">
        <v>137</v>
      </c>
      <c r="U9" s="698"/>
      <c r="V9" s="698" t="s">
        <v>146</v>
      </c>
      <c r="W9" s="698"/>
      <c r="X9" s="698" t="s">
        <v>234</v>
      </c>
      <c r="Y9" s="699"/>
    </row>
    <row r="10" spans="1:51">
      <c r="A10" s="335" t="s">
        <v>168</v>
      </c>
      <c r="B10" s="336">
        <v>29800000</v>
      </c>
      <c r="C10" s="337"/>
      <c r="D10" s="338">
        <v>2020</v>
      </c>
      <c r="E10" s="339">
        <f t="shared" ref="E10:E39" si="0">SUMIF($P$12:$P$61,D10,$R$12:$S$61)</f>
        <v>0</v>
      </c>
      <c r="F10" s="339">
        <f>SUMIF($P$12:$P$61,D10,$S$12:$T$61)</f>
        <v>0</v>
      </c>
      <c r="G10" s="339">
        <f>B2-F10</f>
        <v>0</v>
      </c>
      <c r="H10" s="339">
        <f t="shared" ref="H10:H39" si="1">SUMIF($P$12:$P$61,D10,$V$12:$V$61)</f>
        <v>0</v>
      </c>
      <c r="I10" s="336">
        <f>H10*$B$6</f>
        <v>0</v>
      </c>
      <c r="K10" s="338" t="s">
        <v>139</v>
      </c>
      <c r="L10" s="341" t="s">
        <v>140</v>
      </c>
      <c r="M10" s="341" t="s">
        <v>141</v>
      </c>
      <c r="N10" s="342" t="s">
        <v>142</v>
      </c>
      <c r="P10" s="343"/>
      <c r="Q10" s="344"/>
      <c r="R10" s="344"/>
      <c r="S10" s="344"/>
      <c r="T10" s="344"/>
      <c r="U10" s="344"/>
      <c r="V10" s="344"/>
      <c r="W10" s="344"/>
      <c r="X10" s="344"/>
      <c r="Y10" s="345"/>
    </row>
    <row r="11" spans="1:51">
      <c r="A11" s="335" t="s">
        <v>170</v>
      </c>
      <c r="B11" s="346">
        <v>3.85E-2</v>
      </c>
      <c r="C11" s="337"/>
      <c r="D11" s="338">
        <v>2021</v>
      </c>
      <c r="E11" s="339">
        <f t="shared" si="0"/>
        <v>0</v>
      </c>
      <c r="F11" s="339">
        <f>SUMIF($P$12:$P$61,D11,$S$12:$T$61)</f>
        <v>0</v>
      </c>
      <c r="G11" s="339">
        <f>B3-F11</f>
        <v>0</v>
      </c>
      <c r="H11" s="339">
        <f t="shared" si="1"/>
        <v>0</v>
      </c>
      <c r="I11" s="336">
        <f t="shared" ref="I11:I39" si="2">H11*$B$6</f>
        <v>0</v>
      </c>
      <c r="K11" s="347">
        <v>466744.75186578155</v>
      </c>
      <c r="L11" s="348">
        <v>-180497.61173184216</v>
      </c>
      <c r="M11" s="348">
        <v>-286247.14013393939</v>
      </c>
      <c r="N11" s="349">
        <v>29619502.388268158</v>
      </c>
      <c r="P11" s="700" t="s">
        <v>138</v>
      </c>
      <c r="Q11" s="681"/>
      <c r="R11" s="681" t="s">
        <v>139</v>
      </c>
      <c r="S11" s="681"/>
      <c r="T11" s="681" t="s">
        <v>140</v>
      </c>
      <c r="U11" s="681"/>
      <c r="V11" s="681" t="s">
        <v>141</v>
      </c>
      <c r="W11" s="681"/>
      <c r="X11" s="681" t="s">
        <v>142</v>
      </c>
      <c r="Y11" s="682"/>
    </row>
    <row r="12" spans="1:51">
      <c r="A12" s="335" t="s">
        <v>171</v>
      </c>
      <c r="B12" s="351">
        <v>25</v>
      </c>
      <c r="C12" s="337"/>
      <c r="D12" s="338">
        <v>2022</v>
      </c>
      <c r="E12" s="339">
        <f t="shared" si="0"/>
        <v>0</v>
      </c>
      <c r="F12" s="339">
        <f>SUMIF($P$12:$P$61,D12,$S$12:$T$61)</f>
        <v>0</v>
      </c>
      <c r="G12" s="339">
        <f>B7-F12</f>
        <v>0</v>
      </c>
      <c r="H12" s="339">
        <f t="shared" si="1"/>
        <v>0</v>
      </c>
      <c r="I12" s="336">
        <f t="shared" si="2"/>
        <v>0</v>
      </c>
      <c r="K12" s="347">
        <v>1866979.0074631348</v>
      </c>
      <c r="L12" s="348">
        <v>-739588.24371469021</v>
      </c>
      <c r="M12" s="348">
        <v>-1127390.7637484446</v>
      </c>
      <c r="N12" s="349">
        <v>28879914.144553468</v>
      </c>
      <c r="P12" s="352">
        <v>2025</v>
      </c>
      <c r="Q12" s="350">
        <v>1</v>
      </c>
      <c r="R12" s="679">
        <v>933441.77</v>
      </c>
      <c r="S12" s="679"/>
      <c r="T12" s="679">
        <v>359791.77</v>
      </c>
      <c r="U12" s="679"/>
      <c r="V12" s="679">
        <v>573650</v>
      </c>
      <c r="W12" s="679"/>
      <c r="X12" s="679">
        <v>29440208.23</v>
      </c>
      <c r="Y12" s="680"/>
    </row>
    <row r="13" spans="1:51">
      <c r="A13" s="353" t="s">
        <v>169</v>
      </c>
      <c r="B13" s="354" t="s">
        <v>178</v>
      </c>
      <c r="C13" s="337"/>
      <c r="D13" s="338">
        <v>2023</v>
      </c>
      <c r="E13" s="339">
        <f t="shared" si="0"/>
        <v>0</v>
      </c>
      <c r="F13" s="339">
        <f>SUMIF($P$12:$P$61,D13,$S$12:$T$61)</f>
        <v>0</v>
      </c>
      <c r="G13" s="339">
        <f>B8-F13</f>
        <v>0</v>
      </c>
      <c r="H13" s="339">
        <f t="shared" si="1"/>
        <v>0</v>
      </c>
      <c r="I13" s="336">
        <f t="shared" si="2"/>
        <v>0</v>
      </c>
      <c r="K13" s="347">
        <v>1866979.007463132</v>
      </c>
      <c r="L13" s="348">
        <v>-768570.25357024744</v>
      </c>
      <c r="M13" s="348">
        <v>-1098408.7538928848</v>
      </c>
      <c r="N13" s="349">
        <v>28111343.89098322</v>
      </c>
      <c r="P13" s="352">
        <v>2025</v>
      </c>
      <c r="Q13" s="350">
        <v>2</v>
      </c>
      <c r="R13" s="679">
        <v>933441.77</v>
      </c>
      <c r="S13" s="679"/>
      <c r="T13" s="679">
        <v>366717.76</v>
      </c>
      <c r="U13" s="679"/>
      <c r="V13" s="679">
        <v>566724.01</v>
      </c>
      <c r="W13" s="679"/>
      <c r="X13" s="679">
        <v>29073490.469999999</v>
      </c>
      <c r="Y13" s="680"/>
    </row>
    <row r="14" spans="1:51">
      <c r="B14" s="337"/>
      <c r="C14" s="337"/>
      <c r="D14" s="338">
        <v>2024</v>
      </c>
      <c r="E14" s="339">
        <f t="shared" si="0"/>
        <v>0</v>
      </c>
      <c r="F14" s="339">
        <f>SUMIF($P$12:$P$61,D14,$S$12:$T$61)</f>
        <v>0</v>
      </c>
      <c r="G14" s="339">
        <f>B9-F14</f>
        <v>0</v>
      </c>
      <c r="H14" s="339">
        <f t="shared" si="1"/>
        <v>0</v>
      </c>
      <c r="I14" s="336">
        <f t="shared" si="2"/>
        <v>0</v>
      </c>
      <c r="K14" s="347">
        <v>1866979.0074631313</v>
      </c>
      <c r="L14" s="348">
        <v>-798687.97225082666</v>
      </c>
      <c r="M14" s="348">
        <v>-1068291.0352123049</v>
      </c>
      <c r="N14" s="349">
        <v>27312655.918732394</v>
      </c>
      <c r="P14" s="352">
        <v>2026</v>
      </c>
      <c r="Q14" s="350">
        <v>3</v>
      </c>
      <c r="R14" s="679">
        <v>933441.77</v>
      </c>
      <c r="S14" s="679"/>
      <c r="T14" s="679">
        <v>373777.08</v>
      </c>
      <c r="U14" s="679"/>
      <c r="V14" s="679">
        <v>559664.68999999994</v>
      </c>
      <c r="W14" s="679"/>
      <c r="X14" s="679">
        <v>28699713.390000001</v>
      </c>
      <c r="Y14" s="680"/>
    </row>
    <row r="15" spans="1:51">
      <c r="B15" s="337"/>
      <c r="C15" s="337"/>
      <c r="D15" s="338">
        <v>2025</v>
      </c>
      <c r="E15" s="339">
        <f t="shared" si="0"/>
        <v>1866883.54</v>
      </c>
      <c r="F15" s="339">
        <f t="shared" ref="F15:F39" si="3">SUMIF($P$12:$P$61,D15,$T$12:$T$61)</f>
        <v>726509.53</v>
      </c>
      <c r="G15" s="339">
        <f>B10-F15</f>
        <v>29073490.469999999</v>
      </c>
      <c r="H15" s="339">
        <f t="shared" si="1"/>
        <v>1140374.01</v>
      </c>
      <c r="I15" s="336">
        <f t="shared" si="2"/>
        <v>1140374.01</v>
      </c>
      <c r="K15" s="347">
        <v>1866979.0074631318</v>
      </c>
      <c r="L15" s="348">
        <v>-829985.904417824</v>
      </c>
      <c r="M15" s="348">
        <v>-1036993.1030453078</v>
      </c>
      <c r="N15" s="349">
        <v>26482670.01431457</v>
      </c>
      <c r="P15" s="352">
        <v>2026</v>
      </c>
      <c r="Q15" s="350">
        <v>4</v>
      </c>
      <c r="R15" s="679">
        <v>933441.77</v>
      </c>
      <c r="S15" s="679"/>
      <c r="T15" s="679">
        <v>380972.29</v>
      </c>
      <c r="U15" s="679"/>
      <c r="V15" s="679">
        <v>552469.48</v>
      </c>
      <c r="W15" s="679"/>
      <c r="X15" s="679">
        <v>28318741.100000001</v>
      </c>
      <c r="Y15" s="680"/>
    </row>
    <row r="16" spans="1:51">
      <c r="D16" s="338">
        <v>2026</v>
      </c>
      <c r="E16" s="339">
        <f t="shared" si="0"/>
        <v>1866883.54</v>
      </c>
      <c r="F16" s="339">
        <f t="shared" si="3"/>
        <v>754749.37</v>
      </c>
      <c r="G16" s="339">
        <f t="shared" ref="G16:G39" si="4">G15-F16</f>
        <v>28318741.099999998</v>
      </c>
      <c r="H16" s="339">
        <f t="shared" si="1"/>
        <v>1112134.17</v>
      </c>
      <c r="I16" s="336">
        <f t="shared" si="2"/>
        <v>1112134.17</v>
      </c>
      <c r="K16" s="347">
        <v>933489.50373156811</v>
      </c>
      <c r="L16" s="348">
        <v>-427111.09052454308</v>
      </c>
      <c r="M16" s="348">
        <v>-506378.41320702498</v>
      </c>
      <c r="N16" s="349">
        <v>26055558.92379</v>
      </c>
      <c r="P16" s="352">
        <v>2027</v>
      </c>
      <c r="Q16" s="350">
        <v>5</v>
      </c>
      <c r="R16" s="679">
        <v>933441.77</v>
      </c>
      <c r="S16" s="679"/>
      <c r="T16" s="679">
        <v>388306</v>
      </c>
      <c r="U16" s="679"/>
      <c r="V16" s="679">
        <v>545135.77</v>
      </c>
      <c r="W16" s="679"/>
      <c r="X16" s="679">
        <v>27930435.100000001</v>
      </c>
      <c r="Y16" s="680"/>
    </row>
    <row r="17" spans="4:27">
      <c r="D17" s="338">
        <v>2027</v>
      </c>
      <c r="E17" s="339">
        <f t="shared" si="0"/>
        <v>1866883.54</v>
      </c>
      <c r="F17" s="339">
        <f t="shared" si="3"/>
        <v>784086.89</v>
      </c>
      <c r="G17" s="339">
        <f t="shared" si="4"/>
        <v>27534654.209999997</v>
      </c>
      <c r="H17" s="339">
        <f t="shared" si="1"/>
        <v>1082796.6499999999</v>
      </c>
      <c r="I17" s="336">
        <f t="shared" si="2"/>
        <v>1082796.6499999999</v>
      </c>
      <c r="K17" s="355"/>
      <c r="L17" s="356"/>
      <c r="M17" s="356"/>
      <c r="N17" s="357"/>
      <c r="P17" s="352">
        <v>2027</v>
      </c>
      <c r="Q17" s="350">
        <v>6</v>
      </c>
      <c r="R17" s="679">
        <v>933441.77</v>
      </c>
      <c r="S17" s="679"/>
      <c r="T17" s="679">
        <v>395780.89</v>
      </c>
      <c r="U17" s="679"/>
      <c r="V17" s="679">
        <v>537660.88</v>
      </c>
      <c r="W17" s="679"/>
      <c r="X17" s="679">
        <v>27534654.210000001</v>
      </c>
      <c r="Y17" s="680"/>
    </row>
    <row r="18" spans="4:27">
      <c r="D18" s="338">
        <v>2028</v>
      </c>
      <c r="E18" s="339">
        <f t="shared" si="0"/>
        <v>1866883.54</v>
      </c>
      <c r="F18" s="339">
        <f t="shared" si="3"/>
        <v>814564.8</v>
      </c>
      <c r="G18" s="339">
        <f t="shared" si="4"/>
        <v>26720089.409999996</v>
      </c>
      <c r="H18" s="339">
        <f t="shared" si="1"/>
        <v>1052318.74</v>
      </c>
      <c r="I18" s="336">
        <f t="shared" si="2"/>
        <v>1052318.74</v>
      </c>
      <c r="P18" s="352">
        <v>2028</v>
      </c>
      <c r="Q18" s="350">
        <v>7</v>
      </c>
      <c r="R18" s="679">
        <v>933441.77</v>
      </c>
      <c r="S18" s="679"/>
      <c r="T18" s="679">
        <v>403399.67999999999</v>
      </c>
      <c r="U18" s="679"/>
      <c r="V18" s="679">
        <v>530042.09</v>
      </c>
      <c r="W18" s="679"/>
      <c r="X18" s="679">
        <v>27131254.530000001</v>
      </c>
      <c r="Y18" s="680"/>
      <c r="Z18" s="358"/>
      <c r="AA18" s="359"/>
    </row>
    <row r="19" spans="4:27">
      <c r="D19" s="338">
        <v>2029</v>
      </c>
      <c r="E19" s="339">
        <f t="shared" si="0"/>
        <v>1866883.54</v>
      </c>
      <c r="F19" s="339">
        <f t="shared" si="3"/>
        <v>846227.39</v>
      </c>
      <c r="G19" s="339">
        <f t="shared" si="4"/>
        <v>25873862.019999996</v>
      </c>
      <c r="H19" s="339">
        <f t="shared" si="1"/>
        <v>1020656.1499999999</v>
      </c>
      <c r="I19" s="336">
        <f t="shared" si="2"/>
        <v>1020656.1499999999</v>
      </c>
      <c r="P19" s="352">
        <v>2028</v>
      </c>
      <c r="Q19" s="350">
        <v>8</v>
      </c>
      <c r="R19" s="679">
        <v>933441.77</v>
      </c>
      <c r="S19" s="679"/>
      <c r="T19" s="679">
        <v>411165.12</v>
      </c>
      <c r="U19" s="679"/>
      <c r="V19" s="679">
        <v>522276.65</v>
      </c>
      <c r="W19" s="679"/>
      <c r="X19" s="679">
        <v>26720089.41</v>
      </c>
      <c r="Y19" s="680"/>
    </row>
    <row r="20" spans="4:27">
      <c r="D20" s="338">
        <v>2030</v>
      </c>
      <c r="E20" s="339">
        <f t="shared" si="0"/>
        <v>1866883.54</v>
      </c>
      <c r="F20" s="339">
        <f t="shared" si="3"/>
        <v>879120.73</v>
      </c>
      <c r="G20" s="339">
        <f t="shared" si="4"/>
        <v>24994741.289999995</v>
      </c>
      <c r="H20" s="339">
        <f t="shared" si="1"/>
        <v>987762.81</v>
      </c>
      <c r="I20" s="336">
        <f t="shared" si="2"/>
        <v>987762.81</v>
      </c>
      <c r="P20" s="352">
        <v>2029</v>
      </c>
      <c r="Q20" s="350">
        <v>9</v>
      </c>
      <c r="R20" s="679">
        <v>933441.77</v>
      </c>
      <c r="S20" s="679"/>
      <c r="T20" s="679">
        <v>419080.05</v>
      </c>
      <c r="U20" s="679"/>
      <c r="V20" s="679">
        <v>514361.72</v>
      </c>
      <c r="W20" s="679"/>
      <c r="X20" s="679">
        <v>26301009.359999999</v>
      </c>
      <c r="Y20" s="680"/>
    </row>
    <row r="21" spans="4:27">
      <c r="D21" s="338">
        <v>2031</v>
      </c>
      <c r="E21" s="339">
        <f t="shared" si="0"/>
        <v>1866883.54</v>
      </c>
      <c r="F21" s="339">
        <f t="shared" si="3"/>
        <v>913292.64</v>
      </c>
      <c r="G21" s="339">
        <f t="shared" si="4"/>
        <v>24081448.649999995</v>
      </c>
      <c r="H21" s="339">
        <f t="shared" si="1"/>
        <v>953590.9</v>
      </c>
      <c r="I21" s="336">
        <f t="shared" si="2"/>
        <v>953590.9</v>
      </c>
      <c r="P21" s="352">
        <v>2029</v>
      </c>
      <c r="Q21" s="350">
        <v>10</v>
      </c>
      <c r="R21" s="679">
        <v>933441.77</v>
      </c>
      <c r="S21" s="679"/>
      <c r="T21" s="679">
        <v>427147.34</v>
      </c>
      <c r="U21" s="679"/>
      <c r="V21" s="679">
        <v>506294.43</v>
      </c>
      <c r="W21" s="679"/>
      <c r="X21" s="679">
        <v>25873862.02</v>
      </c>
      <c r="Y21" s="680"/>
    </row>
    <row r="22" spans="4:27">
      <c r="D22" s="338">
        <v>2032</v>
      </c>
      <c r="E22" s="339">
        <f t="shared" si="0"/>
        <v>1866883.54</v>
      </c>
      <c r="F22" s="339">
        <f t="shared" si="3"/>
        <v>948792.84000000008</v>
      </c>
      <c r="G22" s="339">
        <f t="shared" si="4"/>
        <v>23132655.809999995</v>
      </c>
      <c r="H22" s="339">
        <f t="shared" si="1"/>
        <v>918090.7</v>
      </c>
      <c r="I22" s="336">
        <f t="shared" si="2"/>
        <v>918090.7</v>
      </c>
      <c r="P22" s="352">
        <v>2030</v>
      </c>
      <c r="Q22" s="350">
        <v>11</v>
      </c>
      <c r="R22" s="679">
        <v>933441.77</v>
      </c>
      <c r="S22" s="679"/>
      <c r="T22" s="679">
        <v>435369.93</v>
      </c>
      <c r="U22" s="679"/>
      <c r="V22" s="679">
        <v>498071.84</v>
      </c>
      <c r="W22" s="679"/>
      <c r="X22" s="679">
        <v>25438492.09</v>
      </c>
      <c r="Y22" s="680"/>
    </row>
    <row r="23" spans="4:27">
      <c r="D23" s="338">
        <v>2033</v>
      </c>
      <c r="E23" s="339">
        <f t="shared" si="0"/>
        <v>1866883.54</v>
      </c>
      <c r="F23" s="339">
        <f t="shared" si="3"/>
        <v>985672.96</v>
      </c>
      <c r="G23" s="339">
        <f t="shared" si="4"/>
        <v>22146982.849999994</v>
      </c>
      <c r="H23" s="339">
        <f t="shared" si="1"/>
        <v>881210.58000000007</v>
      </c>
      <c r="I23" s="336">
        <f t="shared" si="2"/>
        <v>881210.58000000007</v>
      </c>
      <c r="P23" s="352">
        <v>2030</v>
      </c>
      <c r="Q23" s="350">
        <v>12</v>
      </c>
      <c r="R23" s="679">
        <v>933441.77</v>
      </c>
      <c r="S23" s="679"/>
      <c r="T23" s="679">
        <v>443750.8</v>
      </c>
      <c r="U23" s="679"/>
      <c r="V23" s="679">
        <v>489690.97</v>
      </c>
      <c r="W23" s="679"/>
      <c r="X23" s="679">
        <v>24994741.289999999</v>
      </c>
      <c r="Y23" s="680"/>
    </row>
    <row r="24" spans="4:27">
      <c r="D24" s="338">
        <v>2034</v>
      </c>
      <c r="E24" s="339">
        <f t="shared" si="0"/>
        <v>1866883.54</v>
      </c>
      <c r="F24" s="339">
        <f t="shared" si="3"/>
        <v>1023986.61</v>
      </c>
      <c r="G24" s="339">
        <f t="shared" si="4"/>
        <v>21122996.239999995</v>
      </c>
      <c r="H24" s="339">
        <f t="shared" si="1"/>
        <v>842896.92999999993</v>
      </c>
      <c r="I24" s="336">
        <f t="shared" si="2"/>
        <v>842896.92999999993</v>
      </c>
      <c r="P24" s="352">
        <v>2031</v>
      </c>
      <c r="Q24" s="350">
        <v>13</v>
      </c>
      <c r="R24" s="679">
        <v>933441.77</v>
      </c>
      <c r="S24" s="679"/>
      <c r="T24" s="679">
        <v>452293</v>
      </c>
      <c r="U24" s="679"/>
      <c r="V24" s="679">
        <v>481148.77</v>
      </c>
      <c r="W24" s="679"/>
      <c r="X24" s="679">
        <v>24542448.289999999</v>
      </c>
      <c r="Y24" s="680"/>
    </row>
    <row r="25" spans="4:27">
      <c r="D25" s="338">
        <v>2035</v>
      </c>
      <c r="E25" s="339">
        <f t="shared" si="0"/>
        <v>1866883.54</v>
      </c>
      <c r="F25" s="339">
        <f t="shared" si="3"/>
        <v>1063789.5499999998</v>
      </c>
      <c r="G25" s="339">
        <f t="shared" si="4"/>
        <v>20059206.689999994</v>
      </c>
      <c r="H25" s="339">
        <f t="shared" si="1"/>
        <v>803093.99</v>
      </c>
      <c r="I25" s="336">
        <f t="shared" si="2"/>
        <v>803093.99</v>
      </c>
      <c r="P25" s="352">
        <v>2031</v>
      </c>
      <c r="Q25" s="350">
        <v>14</v>
      </c>
      <c r="R25" s="679">
        <v>933441.77</v>
      </c>
      <c r="S25" s="679"/>
      <c r="T25" s="679">
        <v>460999.64</v>
      </c>
      <c r="U25" s="679"/>
      <c r="V25" s="679">
        <v>472442.13</v>
      </c>
      <c r="W25" s="679"/>
      <c r="X25" s="679">
        <v>24081448.649999999</v>
      </c>
      <c r="Y25" s="680"/>
    </row>
    <row r="26" spans="4:27">
      <c r="D26" s="338">
        <v>2036</v>
      </c>
      <c r="E26" s="339">
        <f t="shared" si="0"/>
        <v>1866883.54</v>
      </c>
      <c r="F26" s="339">
        <f t="shared" si="3"/>
        <v>1105139.6499999999</v>
      </c>
      <c r="G26" s="339">
        <f t="shared" si="4"/>
        <v>18954067.039999995</v>
      </c>
      <c r="H26" s="339">
        <f t="shared" si="1"/>
        <v>761743.8899999999</v>
      </c>
      <c r="I26" s="336">
        <f t="shared" si="2"/>
        <v>761743.8899999999</v>
      </c>
      <c r="P26" s="352">
        <v>2032</v>
      </c>
      <c r="Q26" s="350">
        <v>15</v>
      </c>
      <c r="R26" s="679">
        <v>933441.77</v>
      </c>
      <c r="S26" s="679"/>
      <c r="T26" s="679">
        <v>469873.88</v>
      </c>
      <c r="U26" s="679"/>
      <c r="V26" s="679">
        <v>463567.89</v>
      </c>
      <c r="W26" s="679"/>
      <c r="X26" s="679">
        <v>23611574.77</v>
      </c>
      <c r="Y26" s="680"/>
    </row>
    <row r="27" spans="4:27">
      <c r="D27" s="338">
        <v>2037</v>
      </c>
      <c r="E27" s="339">
        <f t="shared" si="0"/>
        <v>1866883.54</v>
      </c>
      <c r="F27" s="339">
        <f t="shared" si="3"/>
        <v>1148097.0499999998</v>
      </c>
      <c r="G27" s="339">
        <f t="shared" si="4"/>
        <v>17805969.989999995</v>
      </c>
      <c r="H27" s="339">
        <f t="shared" si="1"/>
        <v>718786.49</v>
      </c>
      <c r="I27" s="336">
        <f t="shared" si="2"/>
        <v>718786.49</v>
      </c>
      <c r="P27" s="352">
        <v>2032</v>
      </c>
      <c r="Q27" s="350">
        <v>16</v>
      </c>
      <c r="R27" s="679">
        <v>933441.77</v>
      </c>
      <c r="S27" s="679"/>
      <c r="T27" s="679">
        <v>478918.96</v>
      </c>
      <c r="U27" s="679"/>
      <c r="V27" s="679">
        <v>454522.81</v>
      </c>
      <c r="W27" s="679"/>
      <c r="X27" s="679">
        <v>23132655.809999999</v>
      </c>
      <c r="Y27" s="680"/>
    </row>
    <row r="28" spans="4:27">
      <c r="D28" s="338">
        <v>2038</v>
      </c>
      <c r="E28" s="339">
        <f t="shared" si="0"/>
        <v>1866883.54</v>
      </c>
      <c r="F28" s="339">
        <f t="shared" si="3"/>
        <v>1192724.23</v>
      </c>
      <c r="G28" s="339">
        <f t="shared" si="4"/>
        <v>16613245.759999994</v>
      </c>
      <c r="H28" s="339">
        <f t="shared" si="1"/>
        <v>674159.31</v>
      </c>
      <c r="I28" s="336">
        <f t="shared" si="2"/>
        <v>674159.31</v>
      </c>
      <c r="P28" s="352">
        <v>2033</v>
      </c>
      <c r="Q28" s="350">
        <v>17</v>
      </c>
      <c r="R28" s="679">
        <v>933441.77</v>
      </c>
      <c r="S28" s="679"/>
      <c r="T28" s="679">
        <v>488138.15</v>
      </c>
      <c r="U28" s="679"/>
      <c r="V28" s="679">
        <v>445303.62</v>
      </c>
      <c r="W28" s="679"/>
      <c r="X28" s="679">
        <v>22644517.66</v>
      </c>
      <c r="Y28" s="680"/>
    </row>
    <row r="29" spans="4:27">
      <c r="D29" s="338">
        <v>2039</v>
      </c>
      <c r="E29" s="339">
        <f t="shared" si="0"/>
        <v>1866883.54</v>
      </c>
      <c r="F29" s="339">
        <f t="shared" si="3"/>
        <v>1239086.0900000001</v>
      </c>
      <c r="G29" s="339">
        <f t="shared" si="4"/>
        <v>15374159.669999994</v>
      </c>
      <c r="H29" s="339">
        <f t="shared" si="1"/>
        <v>627797.44999999995</v>
      </c>
      <c r="I29" s="336">
        <f t="shared" si="2"/>
        <v>627797.44999999995</v>
      </c>
      <c r="P29" s="352">
        <v>2033</v>
      </c>
      <c r="Q29" s="350">
        <v>18</v>
      </c>
      <c r="R29" s="679">
        <v>933441.77</v>
      </c>
      <c r="S29" s="679"/>
      <c r="T29" s="679">
        <v>497534.81</v>
      </c>
      <c r="U29" s="679"/>
      <c r="V29" s="679">
        <v>435906.96</v>
      </c>
      <c r="W29" s="679"/>
      <c r="X29" s="679">
        <v>22146982.850000001</v>
      </c>
      <c r="Y29" s="680"/>
    </row>
    <row r="30" spans="4:27">
      <c r="D30" s="338">
        <v>2040</v>
      </c>
      <c r="E30" s="339">
        <f t="shared" si="0"/>
        <v>1866883.54</v>
      </c>
      <c r="F30" s="339">
        <f t="shared" si="3"/>
        <v>1287250.06</v>
      </c>
      <c r="G30" s="339">
        <f t="shared" si="4"/>
        <v>14086909.609999994</v>
      </c>
      <c r="H30" s="339">
        <f t="shared" si="1"/>
        <v>579633.48</v>
      </c>
      <c r="I30" s="336">
        <f t="shared" si="2"/>
        <v>579633.48</v>
      </c>
      <c r="P30" s="352">
        <v>2034</v>
      </c>
      <c r="Q30" s="350">
        <v>19</v>
      </c>
      <c r="R30" s="679">
        <v>933441.77</v>
      </c>
      <c r="S30" s="679"/>
      <c r="T30" s="679">
        <v>507112.35</v>
      </c>
      <c r="U30" s="679"/>
      <c r="V30" s="679">
        <v>426329.42</v>
      </c>
      <c r="W30" s="679"/>
      <c r="X30" s="679">
        <v>21639870.5</v>
      </c>
      <c r="Y30" s="680"/>
    </row>
    <row r="31" spans="4:27">
      <c r="D31" s="338">
        <v>2041</v>
      </c>
      <c r="E31" s="339">
        <f t="shared" si="0"/>
        <v>1866883.54</v>
      </c>
      <c r="F31" s="339">
        <f t="shared" si="3"/>
        <v>1337286.19</v>
      </c>
      <c r="G31" s="339">
        <f t="shared" si="4"/>
        <v>12749623.419999994</v>
      </c>
      <c r="H31" s="339">
        <f t="shared" si="1"/>
        <v>529597.35</v>
      </c>
      <c r="I31" s="336">
        <f t="shared" si="2"/>
        <v>529597.35</v>
      </c>
      <c r="P31" s="352">
        <v>2034</v>
      </c>
      <c r="Q31" s="350">
        <v>20</v>
      </c>
      <c r="R31" s="679">
        <v>933441.77</v>
      </c>
      <c r="S31" s="679"/>
      <c r="T31" s="679">
        <v>516874.26</v>
      </c>
      <c r="U31" s="679"/>
      <c r="V31" s="679">
        <v>416567.51</v>
      </c>
      <c r="W31" s="679"/>
      <c r="X31" s="679">
        <v>21122996.239999998</v>
      </c>
      <c r="Y31" s="680"/>
    </row>
    <row r="32" spans="4:27">
      <c r="D32" s="338">
        <v>2042</v>
      </c>
      <c r="E32" s="339">
        <f t="shared" si="0"/>
        <v>1866883.54</v>
      </c>
      <c r="F32" s="339">
        <f t="shared" si="3"/>
        <v>1389267.26</v>
      </c>
      <c r="G32" s="339">
        <f t="shared" si="4"/>
        <v>11360356.159999995</v>
      </c>
      <c r="H32" s="339">
        <f t="shared" si="1"/>
        <v>477616.28</v>
      </c>
      <c r="I32" s="336">
        <f t="shared" si="2"/>
        <v>477616.28</v>
      </c>
      <c r="P32" s="352">
        <v>2035</v>
      </c>
      <c r="Q32" s="350">
        <v>21</v>
      </c>
      <c r="R32" s="679">
        <v>933441.77</v>
      </c>
      <c r="S32" s="679"/>
      <c r="T32" s="679">
        <v>526824.09</v>
      </c>
      <c r="U32" s="679"/>
      <c r="V32" s="679">
        <v>406617.68</v>
      </c>
      <c r="W32" s="679"/>
      <c r="X32" s="679">
        <v>20596172.149999999</v>
      </c>
      <c r="Y32" s="680"/>
    </row>
    <row r="33" spans="4:25">
      <c r="D33" s="338">
        <v>2043</v>
      </c>
      <c r="E33" s="339">
        <f t="shared" si="0"/>
        <v>1866883.54</v>
      </c>
      <c r="F33" s="339">
        <f t="shared" si="3"/>
        <v>1443268.8599999999</v>
      </c>
      <c r="G33" s="339">
        <f t="shared" si="4"/>
        <v>9917087.2999999952</v>
      </c>
      <c r="H33" s="339">
        <f t="shared" si="1"/>
        <v>423614.68</v>
      </c>
      <c r="I33" s="336">
        <f t="shared" si="2"/>
        <v>423614.68</v>
      </c>
      <c r="P33" s="352">
        <v>2035</v>
      </c>
      <c r="Q33" s="350">
        <v>22</v>
      </c>
      <c r="R33" s="679">
        <v>933441.77</v>
      </c>
      <c r="S33" s="679"/>
      <c r="T33" s="679">
        <v>536965.46</v>
      </c>
      <c r="U33" s="679"/>
      <c r="V33" s="679">
        <v>396476.31</v>
      </c>
      <c r="W33" s="679"/>
      <c r="X33" s="679">
        <v>20059206.690000001</v>
      </c>
      <c r="Y33" s="680"/>
    </row>
    <row r="34" spans="4:25">
      <c r="D34" s="338">
        <v>2044</v>
      </c>
      <c r="E34" s="339">
        <f t="shared" si="0"/>
        <v>1866883.54</v>
      </c>
      <c r="F34" s="339">
        <f t="shared" si="3"/>
        <v>1499369.5299999998</v>
      </c>
      <c r="G34" s="339">
        <f t="shared" si="4"/>
        <v>8417717.7699999958</v>
      </c>
      <c r="H34" s="339">
        <f t="shared" si="1"/>
        <v>367514.01</v>
      </c>
      <c r="I34" s="336">
        <f t="shared" si="2"/>
        <v>367514.01</v>
      </c>
      <c r="P34" s="352">
        <v>2036</v>
      </c>
      <c r="Q34" s="350">
        <v>23</v>
      </c>
      <c r="R34" s="679">
        <v>933441.77</v>
      </c>
      <c r="S34" s="679"/>
      <c r="T34" s="679">
        <v>547302.04</v>
      </c>
      <c r="U34" s="679"/>
      <c r="V34" s="679">
        <v>386139.73</v>
      </c>
      <c r="W34" s="679"/>
      <c r="X34" s="679">
        <v>19511904.649999999</v>
      </c>
      <c r="Y34" s="680"/>
    </row>
    <row r="35" spans="4:25">
      <c r="D35" s="338">
        <v>2045</v>
      </c>
      <c r="E35" s="339">
        <f t="shared" si="0"/>
        <v>1866883.54</v>
      </c>
      <c r="F35" s="339">
        <f t="shared" si="3"/>
        <v>1557650.87</v>
      </c>
      <c r="G35" s="339">
        <f t="shared" si="4"/>
        <v>6860066.8999999957</v>
      </c>
      <c r="H35" s="339">
        <f t="shared" si="1"/>
        <v>309232.67000000004</v>
      </c>
      <c r="I35" s="336">
        <f t="shared" si="2"/>
        <v>309232.67000000004</v>
      </c>
      <c r="P35" s="352">
        <v>2036</v>
      </c>
      <c r="Q35" s="350">
        <v>24</v>
      </c>
      <c r="R35" s="679">
        <v>933441.77</v>
      </c>
      <c r="S35" s="679"/>
      <c r="T35" s="679">
        <v>557837.61</v>
      </c>
      <c r="U35" s="679"/>
      <c r="V35" s="679">
        <v>375604.16</v>
      </c>
      <c r="W35" s="679"/>
      <c r="X35" s="679">
        <v>18954067.039999999</v>
      </c>
      <c r="Y35" s="680"/>
    </row>
    <row r="36" spans="4:25">
      <c r="D36" s="338">
        <v>2046</v>
      </c>
      <c r="E36" s="339">
        <f t="shared" si="0"/>
        <v>1866883.54</v>
      </c>
      <c r="F36" s="339">
        <f t="shared" si="3"/>
        <v>1618197.63</v>
      </c>
      <c r="G36" s="339">
        <f t="shared" si="4"/>
        <v>5241869.2699999958</v>
      </c>
      <c r="H36" s="339">
        <f t="shared" si="1"/>
        <v>248685.91</v>
      </c>
      <c r="I36" s="336">
        <f t="shared" si="2"/>
        <v>248685.91</v>
      </c>
      <c r="P36" s="352">
        <v>2037</v>
      </c>
      <c r="Q36" s="350">
        <v>25</v>
      </c>
      <c r="R36" s="679">
        <v>933441.77</v>
      </c>
      <c r="S36" s="679"/>
      <c r="T36" s="679">
        <v>568575.98</v>
      </c>
      <c r="U36" s="679"/>
      <c r="V36" s="679">
        <v>364865.79</v>
      </c>
      <c r="W36" s="679"/>
      <c r="X36" s="679">
        <v>18385491.059999999</v>
      </c>
      <c r="Y36" s="680"/>
    </row>
    <row r="37" spans="4:25">
      <c r="D37" s="338">
        <v>2047</v>
      </c>
      <c r="E37" s="339">
        <f t="shared" si="0"/>
        <v>1866883.54</v>
      </c>
      <c r="F37" s="339">
        <f t="shared" si="3"/>
        <v>1681097.8900000001</v>
      </c>
      <c r="G37" s="339">
        <f t="shared" si="4"/>
        <v>3560771.3799999957</v>
      </c>
      <c r="H37" s="339">
        <f t="shared" si="1"/>
        <v>185785.65</v>
      </c>
      <c r="I37" s="336">
        <f t="shared" si="2"/>
        <v>185785.65</v>
      </c>
      <c r="P37" s="352">
        <v>2037</v>
      </c>
      <c r="Q37" s="350">
        <v>26</v>
      </c>
      <c r="R37" s="679">
        <v>933441.77</v>
      </c>
      <c r="S37" s="679"/>
      <c r="T37" s="679">
        <v>579521.06999999995</v>
      </c>
      <c r="U37" s="679"/>
      <c r="V37" s="679">
        <v>353920.7</v>
      </c>
      <c r="W37" s="679"/>
      <c r="X37" s="679">
        <v>17805969.989999998</v>
      </c>
      <c r="Y37" s="680"/>
    </row>
    <row r="38" spans="4:25">
      <c r="D38" s="338">
        <v>2048</v>
      </c>
      <c r="E38" s="339">
        <f t="shared" si="0"/>
        <v>1866883.54</v>
      </c>
      <c r="F38" s="339">
        <f t="shared" si="3"/>
        <v>1746443.1099999999</v>
      </c>
      <c r="G38" s="339">
        <f t="shared" si="4"/>
        <v>1814328.2699999958</v>
      </c>
      <c r="H38" s="339">
        <f t="shared" si="1"/>
        <v>120440.43000000001</v>
      </c>
      <c r="I38" s="336">
        <f t="shared" si="2"/>
        <v>120440.43000000001</v>
      </c>
      <c r="P38" s="352">
        <v>2038</v>
      </c>
      <c r="Q38" s="350">
        <v>27</v>
      </c>
      <c r="R38" s="679">
        <v>933441.77</v>
      </c>
      <c r="S38" s="679"/>
      <c r="T38" s="679">
        <v>590676.85</v>
      </c>
      <c r="U38" s="679"/>
      <c r="V38" s="679">
        <v>342764.92</v>
      </c>
      <c r="W38" s="679"/>
      <c r="X38" s="679">
        <v>17215293.140000001</v>
      </c>
      <c r="Y38" s="680"/>
    </row>
    <row r="39" spans="4:25">
      <c r="D39" s="338">
        <v>2049</v>
      </c>
      <c r="E39" s="339">
        <f t="shared" si="0"/>
        <v>1866883.54</v>
      </c>
      <c r="F39" s="339">
        <f t="shared" si="3"/>
        <v>1814328.27</v>
      </c>
      <c r="G39" s="339">
        <f t="shared" si="4"/>
        <v>-4.1909515857696533E-9</v>
      </c>
      <c r="H39" s="339">
        <f t="shared" si="1"/>
        <v>52555.270000000004</v>
      </c>
      <c r="I39" s="336">
        <f t="shared" si="2"/>
        <v>52555.270000000004</v>
      </c>
      <c r="P39" s="352">
        <v>2038</v>
      </c>
      <c r="Q39" s="350">
        <v>28</v>
      </c>
      <c r="R39" s="679">
        <v>933441.77</v>
      </c>
      <c r="S39" s="679"/>
      <c r="T39" s="679">
        <v>602047.38</v>
      </c>
      <c r="U39" s="679"/>
      <c r="V39" s="679">
        <v>331394.39</v>
      </c>
      <c r="W39" s="679"/>
      <c r="X39" s="679">
        <v>16613245.76</v>
      </c>
      <c r="Y39" s="680"/>
    </row>
    <row r="40" spans="4:25">
      <c r="D40" s="360" t="s">
        <v>10</v>
      </c>
      <c r="E40" s="361">
        <f>SUM(E10:E39)</f>
        <v>46672088.499999985</v>
      </c>
      <c r="F40" s="361"/>
      <c r="G40" s="361"/>
      <c r="H40" s="361">
        <f>SUM(H10:H39)</f>
        <v>16872088.5</v>
      </c>
      <c r="I40" s="362">
        <f>SUM(I10:I39)</f>
        <v>16872088.5</v>
      </c>
      <c r="P40" s="352">
        <v>2039</v>
      </c>
      <c r="Q40" s="350">
        <v>29</v>
      </c>
      <c r="R40" s="679">
        <v>933441.77</v>
      </c>
      <c r="S40" s="679"/>
      <c r="T40" s="679">
        <v>613636.79</v>
      </c>
      <c r="U40" s="679"/>
      <c r="V40" s="679">
        <v>319804.98</v>
      </c>
      <c r="W40" s="679"/>
      <c r="X40" s="679">
        <v>15999608.970000001</v>
      </c>
      <c r="Y40" s="680"/>
    </row>
    <row r="41" spans="4:25">
      <c r="D41" s="363"/>
      <c r="E41" s="364"/>
      <c r="F41" s="364"/>
      <c r="G41" s="364"/>
      <c r="H41" s="364"/>
      <c r="P41" s="352">
        <v>2039</v>
      </c>
      <c r="Q41" s="350">
        <v>30</v>
      </c>
      <c r="R41" s="679">
        <v>933441.77</v>
      </c>
      <c r="S41" s="679"/>
      <c r="T41" s="679">
        <v>625449.30000000005</v>
      </c>
      <c r="U41" s="679"/>
      <c r="V41" s="679">
        <v>307992.46999999997</v>
      </c>
      <c r="W41" s="679"/>
      <c r="X41" s="679">
        <v>15374159.67</v>
      </c>
      <c r="Y41" s="680"/>
    </row>
    <row r="42" spans="4:25">
      <c r="D42" s="363"/>
      <c r="E42" s="364"/>
      <c r="F42" s="364"/>
      <c r="G42" s="364"/>
      <c r="H42" s="364"/>
      <c r="P42" s="352">
        <v>2040</v>
      </c>
      <c r="Q42" s="350">
        <v>31</v>
      </c>
      <c r="R42" s="679">
        <v>933441.77</v>
      </c>
      <c r="S42" s="679"/>
      <c r="T42" s="679">
        <v>637489.19999999995</v>
      </c>
      <c r="U42" s="679"/>
      <c r="V42" s="679">
        <v>295952.57</v>
      </c>
      <c r="W42" s="679"/>
      <c r="X42" s="679">
        <v>14736670.470000001</v>
      </c>
      <c r="Y42" s="680"/>
    </row>
    <row r="43" spans="4:25">
      <c r="D43" s="363"/>
      <c r="P43" s="352">
        <v>2040</v>
      </c>
      <c r="Q43" s="350">
        <v>32</v>
      </c>
      <c r="R43" s="679">
        <v>933441.77</v>
      </c>
      <c r="S43" s="679"/>
      <c r="T43" s="679">
        <v>649760.86</v>
      </c>
      <c r="U43" s="679"/>
      <c r="V43" s="679">
        <v>283680.90999999997</v>
      </c>
      <c r="W43" s="679"/>
      <c r="X43" s="679">
        <v>14086909.609999999</v>
      </c>
      <c r="Y43" s="680"/>
    </row>
    <row r="44" spans="4:25">
      <c r="D44" s="363"/>
      <c r="P44" s="352">
        <v>2041</v>
      </c>
      <c r="Q44" s="350">
        <v>33</v>
      </c>
      <c r="R44" s="679">
        <v>933441.77</v>
      </c>
      <c r="S44" s="679"/>
      <c r="T44" s="679">
        <v>662268.76</v>
      </c>
      <c r="U44" s="679"/>
      <c r="V44" s="679">
        <v>271173.01</v>
      </c>
      <c r="W44" s="679"/>
      <c r="X44" s="679">
        <v>13424640.85</v>
      </c>
      <c r="Y44" s="680"/>
    </row>
    <row r="45" spans="4:25">
      <c r="D45" s="363"/>
      <c r="P45" s="352">
        <v>2041</v>
      </c>
      <c r="Q45" s="350">
        <v>34</v>
      </c>
      <c r="R45" s="679">
        <v>933441.77</v>
      </c>
      <c r="S45" s="679"/>
      <c r="T45" s="679">
        <v>675017.43</v>
      </c>
      <c r="U45" s="679"/>
      <c r="V45" s="679">
        <v>258424.34</v>
      </c>
      <c r="W45" s="679"/>
      <c r="X45" s="679">
        <v>12749623.42</v>
      </c>
      <c r="Y45" s="680"/>
    </row>
    <row r="46" spans="4:25">
      <c r="D46" s="363"/>
      <c r="P46" s="352">
        <v>2042</v>
      </c>
      <c r="Q46" s="350">
        <v>35</v>
      </c>
      <c r="R46" s="679">
        <v>933441.77</v>
      </c>
      <c r="S46" s="679"/>
      <c r="T46" s="679">
        <v>688011.52</v>
      </c>
      <c r="U46" s="679"/>
      <c r="V46" s="679">
        <v>245430.25</v>
      </c>
      <c r="W46" s="679"/>
      <c r="X46" s="679">
        <v>12061611.9</v>
      </c>
      <c r="Y46" s="680"/>
    </row>
    <row r="47" spans="4:25">
      <c r="D47" s="363"/>
      <c r="P47" s="352">
        <v>2042</v>
      </c>
      <c r="Q47" s="350">
        <v>36</v>
      </c>
      <c r="R47" s="679">
        <v>933441.77</v>
      </c>
      <c r="S47" s="679"/>
      <c r="T47" s="679">
        <v>701255.74</v>
      </c>
      <c r="U47" s="679"/>
      <c r="V47" s="679">
        <v>232186.03</v>
      </c>
      <c r="W47" s="679"/>
      <c r="X47" s="679">
        <v>11360356.16</v>
      </c>
      <c r="Y47" s="680"/>
    </row>
    <row r="48" spans="4:25">
      <c r="D48" s="363"/>
      <c r="P48" s="352">
        <v>2043</v>
      </c>
      <c r="Q48" s="350">
        <v>37</v>
      </c>
      <c r="R48" s="679">
        <v>933441.77</v>
      </c>
      <c r="S48" s="679"/>
      <c r="T48" s="679">
        <v>714754.91</v>
      </c>
      <c r="U48" s="679"/>
      <c r="V48" s="679">
        <v>218686.86</v>
      </c>
      <c r="W48" s="679"/>
      <c r="X48" s="679">
        <v>10645601.25</v>
      </c>
      <c r="Y48" s="680"/>
    </row>
    <row r="49" spans="4:25">
      <c r="D49" s="363"/>
      <c r="P49" s="352">
        <v>2043</v>
      </c>
      <c r="Q49" s="350">
        <v>38</v>
      </c>
      <c r="R49" s="679">
        <v>933441.77</v>
      </c>
      <c r="S49" s="679"/>
      <c r="T49" s="679">
        <v>728513.95</v>
      </c>
      <c r="U49" s="679"/>
      <c r="V49" s="679">
        <v>204927.82</v>
      </c>
      <c r="W49" s="679"/>
      <c r="X49" s="679">
        <v>9917087.3000000007</v>
      </c>
      <c r="Y49" s="680"/>
    </row>
    <row r="50" spans="4:25">
      <c r="D50" s="363"/>
      <c r="P50" s="352">
        <v>2044</v>
      </c>
      <c r="Q50" s="350">
        <v>39</v>
      </c>
      <c r="R50" s="679">
        <v>933441.77</v>
      </c>
      <c r="S50" s="679"/>
      <c r="T50" s="679">
        <v>742537.84</v>
      </c>
      <c r="U50" s="679"/>
      <c r="V50" s="679">
        <v>190903.93</v>
      </c>
      <c r="W50" s="679"/>
      <c r="X50" s="679">
        <v>9174549.4600000009</v>
      </c>
      <c r="Y50" s="680"/>
    </row>
    <row r="51" spans="4:25">
      <c r="D51" s="363"/>
      <c r="P51" s="352">
        <v>2044</v>
      </c>
      <c r="Q51" s="350">
        <v>40</v>
      </c>
      <c r="R51" s="679">
        <v>933441.77</v>
      </c>
      <c r="S51" s="679"/>
      <c r="T51" s="679">
        <v>756831.69</v>
      </c>
      <c r="U51" s="679"/>
      <c r="V51" s="679">
        <v>176610.08</v>
      </c>
      <c r="W51" s="679"/>
      <c r="X51" s="679">
        <v>8417717.7699999996</v>
      </c>
      <c r="Y51" s="680"/>
    </row>
    <row r="52" spans="4:25">
      <c r="D52" s="363"/>
      <c r="P52" s="352">
        <v>2045</v>
      </c>
      <c r="Q52" s="350">
        <v>41</v>
      </c>
      <c r="R52" s="679">
        <v>933441.77</v>
      </c>
      <c r="S52" s="679"/>
      <c r="T52" s="679">
        <v>771400.7</v>
      </c>
      <c r="U52" s="679"/>
      <c r="V52" s="679">
        <v>162041.07</v>
      </c>
      <c r="W52" s="679"/>
      <c r="X52" s="679">
        <v>7646317.0700000003</v>
      </c>
      <c r="Y52" s="680"/>
    </row>
    <row r="53" spans="4:25">
      <c r="D53" s="363"/>
      <c r="P53" s="352">
        <v>2045</v>
      </c>
      <c r="Q53" s="350">
        <v>42</v>
      </c>
      <c r="R53" s="679">
        <v>933441.77</v>
      </c>
      <c r="S53" s="679"/>
      <c r="T53" s="679">
        <v>786250.17</v>
      </c>
      <c r="U53" s="679"/>
      <c r="V53" s="679">
        <v>147191.6</v>
      </c>
      <c r="W53" s="679"/>
      <c r="X53" s="679">
        <v>6860066.9000000004</v>
      </c>
      <c r="Y53" s="680"/>
    </row>
    <row r="54" spans="4:25">
      <c r="D54" s="363"/>
      <c r="P54" s="352">
        <v>2046</v>
      </c>
      <c r="Q54" s="350">
        <v>43</v>
      </c>
      <c r="R54" s="679">
        <v>933441.77</v>
      </c>
      <c r="S54" s="679"/>
      <c r="T54" s="679">
        <v>801385.48</v>
      </c>
      <c r="U54" s="679"/>
      <c r="V54" s="679">
        <v>132056.29</v>
      </c>
      <c r="W54" s="679"/>
      <c r="X54" s="679">
        <v>6058681.4199999999</v>
      </c>
      <c r="Y54" s="680"/>
    </row>
    <row r="55" spans="4:25">
      <c r="D55" s="363"/>
      <c r="P55" s="352">
        <v>2046</v>
      </c>
      <c r="Q55" s="350">
        <v>44</v>
      </c>
      <c r="R55" s="679">
        <v>933441.77</v>
      </c>
      <c r="S55" s="679"/>
      <c r="T55" s="679">
        <v>816812.15</v>
      </c>
      <c r="U55" s="679"/>
      <c r="V55" s="679">
        <v>116629.62</v>
      </c>
      <c r="W55" s="679"/>
      <c r="X55" s="679">
        <v>5241869.2699999996</v>
      </c>
      <c r="Y55" s="680"/>
    </row>
    <row r="56" spans="4:25">
      <c r="D56" s="363"/>
      <c r="P56" s="352">
        <v>2047</v>
      </c>
      <c r="Q56" s="350">
        <v>45</v>
      </c>
      <c r="R56" s="679">
        <v>933441.77</v>
      </c>
      <c r="S56" s="679"/>
      <c r="T56" s="679">
        <v>832535.79</v>
      </c>
      <c r="U56" s="679"/>
      <c r="V56" s="679">
        <v>100905.98</v>
      </c>
      <c r="W56" s="679"/>
      <c r="X56" s="679">
        <v>4409333.4800000004</v>
      </c>
      <c r="Y56" s="680"/>
    </row>
    <row r="57" spans="4:25">
      <c r="D57" s="363"/>
      <c r="P57" s="352">
        <v>2047</v>
      </c>
      <c r="Q57" s="350">
        <v>46</v>
      </c>
      <c r="R57" s="679">
        <v>933441.77</v>
      </c>
      <c r="S57" s="679"/>
      <c r="T57" s="679">
        <v>848562.1</v>
      </c>
      <c r="U57" s="679"/>
      <c r="V57" s="679">
        <v>84879.67</v>
      </c>
      <c r="W57" s="679"/>
      <c r="X57" s="679">
        <v>3560771.38</v>
      </c>
      <c r="Y57" s="680"/>
    </row>
    <row r="58" spans="4:25">
      <c r="D58" s="363"/>
      <c r="P58" s="352">
        <v>2048</v>
      </c>
      <c r="Q58" s="350">
        <v>47</v>
      </c>
      <c r="R58" s="679">
        <v>933441.77</v>
      </c>
      <c r="S58" s="679"/>
      <c r="T58" s="679">
        <v>864896.92</v>
      </c>
      <c r="U58" s="679"/>
      <c r="V58" s="679">
        <v>68544.850000000006</v>
      </c>
      <c r="W58" s="679"/>
      <c r="X58" s="679">
        <v>2695874.46</v>
      </c>
      <c r="Y58" s="680"/>
    </row>
    <row r="59" spans="4:25">
      <c r="D59" s="363"/>
      <c r="P59" s="352">
        <v>2048</v>
      </c>
      <c r="Q59" s="350">
        <v>48</v>
      </c>
      <c r="R59" s="679">
        <v>933441.77</v>
      </c>
      <c r="S59" s="679"/>
      <c r="T59" s="679">
        <v>881546.19</v>
      </c>
      <c r="U59" s="679"/>
      <c r="V59" s="679">
        <v>51895.58</v>
      </c>
      <c r="W59" s="679"/>
      <c r="X59" s="679">
        <v>1814328.27</v>
      </c>
      <c r="Y59" s="680"/>
    </row>
    <row r="60" spans="4:25">
      <c r="D60" s="363"/>
      <c r="P60" s="352">
        <v>2049</v>
      </c>
      <c r="Q60" s="350">
        <v>49</v>
      </c>
      <c r="R60" s="679">
        <v>933441.77</v>
      </c>
      <c r="S60" s="679"/>
      <c r="T60" s="679">
        <v>898515.95</v>
      </c>
      <c r="U60" s="679"/>
      <c r="V60" s="679">
        <v>34925.82</v>
      </c>
      <c r="W60" s="679"/>
      <c r="X60" s="679">
        <v>915812.32</v>
      </c>
      <c r="Y60" s="680"/>
    </row>
    <row r="61" spans="4:25">
      <c r="D61" s="363"/>
      <c r="P61" s="352">
        <v>2049</v>
      </c>
      <c r="Q61" s="350">
        <v>50</v>
      </c>
      <c r="R61" s="679">
        <v>933441.77</v>
      </c>
      <c r="S61" s="679"/>
      <c r="T61" s="679">
        <v>915812.32</v>
      </c>
      <c r="U61" s="679"/>
      <c r="V61" s="679">
        <v>17629.45</v>
      </c>
      <c r="W61" s="679"/>
      <c r="X61" s="679">
        <v>0</v>
      </c>
      <c r="Y61" s="680"/>
    </row>
    <row r="62" spans="4:25">
      <c r="P62" s="365"/>
      <c r="Q62" s="366" t="s">
        <v>143</v>
      </c>
      <c r="R62" s="689">
        <v>46672088.5</v>
      </c>
      <c r="S62" s="689"/>
      <c r="T62" s="689">
        <v>29800000</v>
      </c>
      <c r="U62" s="689"/>
      <c r="V62" s="689">
        <v>16872088.5</v>
      </c>
      <c r="W62" s="689"/>
      <c r="X62" s="689"/>
      <c r="Y62" s="690"/>
    </row>
  </sheetData>
  <mergeCells count="218">
    <mergeCell ref="P6:Y6"/>
    <mergeCell ref="P7:Y7"/>
    <mergeCell ref="P9:Q9"/>
    <mergeCell ref="R9:S9"/>
    <mergeCell ref="T9:U9"/>
    <mergeCell ref="V9:W9"/>
    <mergeCell ref="X9:Y9"/>
    <mergeCell ref="R19:S19"/>
    <mergeCell ref="R20:S20"/>
    <mergeCell ref="T19:U19"/>
    <mergeCell ref="V19:W19"/>
    <mergeCell ref="X19:Y19"/>
    <mergeCell ref="T20:U20"/>
    <mergeCell ref="V20:W20"/>
    <mergeCell ref="X20:Y20"/>
    <mergeCell ref="V16:W16"/>
    <mergeCell ref="X16:Y16"/>
    <mergeCell ref="T17:U17"/>
    <mergeCell ref="V17:W17"/>
    <mergeCell ref="X17:Y17"/>
    <mergeCell ref="T18:U18"/>
    <mergeCell ref="V18:W18"/>
    <mergeCell ref="X18:Y18"/>
    <mergeCell ref="P11:Q11"/>
    <mergeCell ref="R21:S21"/>
    <mergeCell ref="R22:S22"/>
    <mergeCell ref="R23:S23"/>
    <mergeCell ref="R24:S24"/>
    <mergeCell ref="R13:S13"/>
    <mergeCell ref="R14:S14"/>
    <mergeCell ref="R15:S15"/>
    <mergeCell ref="R16:S16"/>
    <mergeCell ref="R17:S17"/>
    <mergeCell ref="R18:S18"/>
    <mergeCell ref="R31:S31"/>
    <mergeCell ref="R32:S32"/>
    <mergeCell ref="R33:S33"/>
    <mergeCell ref="R34:S34"/>
    <mergeCell ref="R35:S35"/>
    <mergeCell ref="R36:S36"/>
    <mergeCell ref="R25:S25"/>
    <mergeCell ref="R26:S26"/>
    <mergeCell ref="R27:S27"/>
    <mergeCell ref="R28:S28"/>
    <mergeCell ref="R29:S29"/>
    <mergeCell ref="R30:S30"/>
    <mergeCell ref="R46:S46"/>
    <mergeCell ref="R47:S47"/>
    <mergeCell ref="R48:S48"/>
    <mergeCell ref="R37:S37"/>
    <mergeCell ref="R38:S38"/>
    <mergeCell ref="R39:S39"/>
    <mergeCell ref="R40:S40"/>
    <mergeCell ref="R41:S41"/>
    <mergeCell ref="R42:S42"/>
    <mergeCell ref="R61:S61"/>
    <mergeCell ref="R62:S62"/>
    <mergeCell ref="T14:U14"/>
    <mergeCell ref="V14:W14"/>
    <mergeCell ref="X14:Y14"/>
    <mergeCell ref="T15:U15"/>
    <mergeCell ref="V15:W15"/>
    <mergeCell ref="X15:Y15"/>
    <mergeCell ref="T16:U16"/>
    <mergeCell ref="R55:S55"/>
    <mergeCell ref="R56:S56"/>
    <mergeCell ref="R57:S57"/>
    <mergeCell ref="R58:S58"/>
    <mergeCell ref="R59:S59"/>
    <mergeCell ref="R60:S60"/>
    <mergeCell ref="R49:S49"/>
    <mergeCell ref="R50:S50"/>
    <mergeCell ref="R51:S51"/>
    <mergeCell ref="R52:S52"/>
    <mergeCell ref="R53:S53"/>
    <mergeCell ref="R54:S54"/>
    <mergeCell ref="R43:S43"/>
    <mergeCell ref="R44:S44"/>
    <mergeCell ref="R45:S45"/>
    <mergeCell ref="T23:U23"/>
    <mergeCell ref="V23:W23"/>
    <mergeCell ref="X23:Y23"/>
    <mergeCell ref="T24:U24"/>
    <mergeCell ref="V24:W24"/>
    <mergeCell ref="X24:Y24"/>
    <mergeCell ref="T21:U21"/>
    <mergeCell ref="V21:W21"/>
    <mergeCell ref="X21:Y21"/>
    <mergeCell ref="T22:U22"/>
    <mergeCell ref="V22:W22"/>
    <mergeCell ref="X22:Y22"/>
    <mergeCell ref="T27:U27"/>
    <mergeCell ref="V27:W27"/>
    <mergeCell ref="X27:Y27"/>
    <mergeCell ref="T28:U28"/>
    <mergeCell ref="V28:W28"/>
    <mergeCell ref="X28:Y28"/>
    <mergeCell ref="T25:U25"/>
    <mergeCell ref="V25:W25"/>
    <mergeCell ref="X25:Y25"/>
    <mergeCell ref="T26:U26"/>
    <mergeCell ref="V26:W26"/>
    <mergeCell ref="X26:Y26"/>
    <mergeCell ref="T31:U31"/>
    <mergeCell ref="V31:W31"/>
    <mergeCell ref="X31:Y31"/>
    <mergeCell ref="T32:U32"/>
    <mergeCell ref="V32:W32"/>
    <mergeCell ref="X32:Y32"/>
    <mergeCell ref="T29:U29"/>
    <mergeCell ref="V29:W29"/>
    <mergeCell ref="X29:Y29"/>
    <mergeCell ref="T30:U30"/>
    <mergeCell ref="V30:W30"/>
    <mergeCell ref="X30:Y30"/>
    <mergeCell ref="T35:U35"/>
    <mergeCell ref="V35:W35"/>
    <mergeCell ref="X35:Y35"/>
    <mergeCell ref="T36:U36"/>
    <mergeCell ref="V36:W36"/>
    <mergeCell ref="X36:Y36"/>
    <mergeCell ref="T33:U33"/>
    <mergeCell ref="V33:W33"/>
    <mergeCell ref="X33:Y33"/>
    <mergeCell ref="T34:U34"/>
    <mergeCell ref="V34:W34"/>
    <mergeCell ref="X34:Y34"/>
    <mergeCell ref="T39:U39"/>
    <mergeCell ref="V39:W39"/>
    <mergeCell ref="X39:Y39"/>
    <mergeCell ref="T40:U40"/>
    <mergeCell ref="V40:W40"/>
    <mergeCell ref="X40:Y40"/>
    <mergeCell ref="T37:U37"/>
    <mergeCell ref="V37:W37"/>
    <mergeCell ref="X37:Y37"/>
    <mergeCell ref="T38:U38"/>
    <mergeCell ref="V38:W38"/>
    <mergeCell ref="X38:Y38"/>
    <mergeCell ref="T43:U43"/>
    <mergeCell ref="V43:W43"/>
    <mergeCell ref="X43:Y43"/>
    <mergeCell ref="T44:U44"/>
    <mergeCell ref="V44:W44"/>
    <mergeCell ref="X44:Y44"/>
    <mergeCell ref="T41:U41"/>
    <mergeCell ref="V41:W41"/>
    <mergeCell ref="X41:Y41"/>
    <mergeCell ref="T42:U42"/>
    <mergeCell ref="V42:W42"/>
    <mergeCell ref="X42:Y42"/>
    <mergeCell ref="T47:U47"/>
    <mergeCell ref="V47:W47"/>
    <mergeCell ref="X47:Y47"/>
    <mergeCell ref="T48:U48"/>
    <mergeCell ref="V48:W48"/>
    <mergeCell ref="X48:Y48"/>
    <mergeCell ref="T45:U45"/>
    <mergeCell ref="V45:W45"/>
    <mergeCell ref="X45:Y45"/>
    <mergeCell ref="T46:U46"/>
    <mergeCell ref="V46:W46"/>
    <mergeCell ref="X46:Y46"/>
    <mergeCell ref="T51:U51"/>
    <mergeCell ref="V51:W51"/>
    <mergeCell ref="X51:Y51"/>
    <mergeCell ref="T52:U52"/>
    <mergeCell ref="V52:W52"/>
    <mergeCell ref="X52:Y52"/>
    <mergeCell ref="T49:U49"/>
    <mergeCell ref="V49:W49"/>
    <mergeCell ref="X49:Y49"/>
    <mergeCell ref="T50:U50"/>
    <mergeCell ref="V50:W50"/>
    <mergeCell ref="X50:Y50"/>
    <mergeCell ref="T56:U56"/>
    <mergeCell ref="V56:W56"/>
    <mergeCell ref="X56:Y56"/>
    <mergeCell ref="T53:U53"/>
    <mergeCell ref="V53:W53"/>
    <mergeCell ref="X53:Y53"/>
    <mergeCell ref="T54:U54"/>
    <mergeCell ref="V54:W54"/>
    <mergeCell ref="X54:Y54"/>
    <mergeCell ref="K6:N6"/>
    <mergeCell ref="K7:N7"/>
    <mergeCell ref="T62:U62"/>
    <mergeCell ref="V62:W62"/>
    <mergeCell ref="X62:Y62"/>
    <mergeCell ref="T61:U61"/>
    <mergeCell ref="V61:W61"/>
    <mergeCell ref="X61:Y61"/>
    <mergeCell ref="T59:U59"/>
    <mergeCell ref="V59:W59"/>
    <mergeCell ref="X59:Y59"/>
    <mergeCell ref="T60:U60"/>
    <mergeCell ref="V60:W60"/>
    <mergeCell ref="X60:Y60"/>
    <mergeCell ref="T57:U57"/>
    <mergeCell ref="V57:W57"/>
    <mergeCell ref="X57:Y57"/>
    <mergeCell ref="T58:U58"/>
    <mergeCell ref="V58:W58"/>
    <mergeCell ref="X58:Y58"/>
    <mergeCell ref="T55:U55"/>
    <mergeCell ref="V55:W55"/>
    <mergeCell ref="X55:Y55"/>
    <mergeCell ref="X13:Y13"/>
    <mergeCell ref="T12:U12"/>
    <mergeCell ref="V12:W12"/>
    <mergeCell ref="X12:Y12"/>
    <mergeCell ref="R11:S11"/>
    <mergeCell ref="T11:U11"/>
    <mergeCell ref="V11:W11"/>
    <mergeCell ref="X11:Y11"/>
    <mergeCell ref="R12:S12"/>
    <mergeCell ref="T13:U13"/>
    <mergeCell ref="V13:W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3D49D-14F9-47E1-9D92-BFE90DDA9F23}">
  <sheetPr codeName="Sheet7">
    <tabColor theme="0" tint="-0.34998626667073579"/>
    <pageSetUpPr fitToPage="1"/>
  </sheetPr>
  <dimension ref="A2:AO27"/>
  <sheetViews>
    <sheetView showGridLines="0" topLeftCell="A3" zoomScaleNormal="100" workbookViewId="0">
      <selection activeCell="C23" sqref="C23"/>
    </sheetView>
  </sheetViews>
  <sheetFormatPr defaultColWidth="9.109375" defaultRowHeight="12"/>
  <cols>
    <col min="1" max="1" width="19.109375" style="118" customWidth="1"/>
    <col min="2" max="2" width="6.6640625" style="118" customWidth="1"/>
    <col min="3" max="3" width="37.44140625" style="118" bestFit="1" customWidth="1"/>
    <col min="4" max="4" width="45.6640625" style="118" customWidth="1"/>
    <col min="5" max="5" width="9.44140625" style="118" customWidth="1"/>
    <col min="6" max="6" width="14" style="118" customWidth="1"/>
    <col min="7" max="7" width="9.44140625" style="118" customWidth="1"/>
    <col min="8" max="8" width="8.5546875" style="118" customWidth="1"/>
    <col min="9" max="11" width="9.44140625" style="118" customWidth="1"/>
    <col min="12" max="12" width="13.109375" style="118" customWidth="1"/>
    <col min="13" max="13" width="18.21875" style="118" customWidth="1"/>
    <col min="14" max="14" width="18.44140625" style="118" bestFit="1" customWidth="1"/>
    <col min="15" max="15" width="18.21875" style="118" bestFit="1" customWidth="1"/>
    <col min="16" max="16" width="13.21875" style="118" bestFit="1" customWidth="1"/>
    <col min="17" max="17" width="13.21875" style="118" customWidth="1"/>
    <col min="18" max="18" width="11.5546875" style="118" bestFit="1" customWidth="1"/>
    <col min="19" max="19" width="11.5546875" style="118" customWidth="1"/>
    <col min="20" max="21" width="12.6640625" style="118" bestFit="1" customWidth="1"/>
    <col min="22" max="23" width="12.5546875" style="118" bestFit="1" customWidth="1"/>
    <col min="24" max="24" width="16.109375" style="118" bestFit="1" customWidth="1"/>
    <col min="25" max="26" width="15.44140625" style="118" customWidth="1"/>
    <col min="27" max="27" width="15.109375" style="118" bestFit="1" customWidth="1"/>
    <col min="28" max="28" width="13.21875" style="118" bestFit="1" customWidth="1"/>
    <col min="29" max="29" width="14.44140625" style="118" bestFit="1" customWidth="1"/>
    <col min="30" max="30" width="14.44140625" style="118" customWidth="1"/>
    <col min="31" max="31" width="15.88671875" style="118" bestFit="1" customWidth="1"/>
    <col min="32" max="32" width="16" style="118" bestFit="1" customWidth="1"/>
    <col min="33" max="33" width="15.88671875" style="118" bestFit="1" customWidth="1"/>
    <col min="34" max="34" width="18.88671875" style="118" customWidth="1"/>
    <col min="35" max="35" width="15.21875" style="118" bestFit="1" customWidth="1"/>
    <col min="36" max="36" width="14.109375" style="118" bestFit="1" customWidth="1"/>
    <col min="37" max="37" width="16.6640625" style="118" bestFit="1" customWidth="1"/>
    <col min="38" max="38" width="13.21875" style="118" customWidth="1"/>
    <col min="39" max="39" width="14.5546875" style="118" customWidth="1"/>
    <col min="40" max="40" width="75.44140625" style="118" customWidth="1"/>
    <col min="41" max="41" width="76.109375" style="118" customWidth="1"/>
    <col min="42" max="16384" width="9.109375" style="118"/>
  </cols>
  <sheetData>
    <row r="2" spans="1:41" ht="12.6" thickBot="1"/>
    <row r="3" spans="1:41" ht="48.6" thickBot="1">
      <c r="B3" s="711" t="s">
        <v>31</v>
      </c>
      <c r="C3" s="710"/>
      <c r="D3" s="707"/>
      <c r="E3" s="706" t="s">
        <v>73</v>
      </c>
      <c r="F3" s="707"/>
      <c r="G3" s="706" t="s">
        <v>2</v>
      </c>
      <c r="H3" s="707"/>
      <c r="I3" s="706" t="s">
        <v>55</v>
      </c>
      <c r="J3" s="707"/>
      <c r="K3" s="706" t="s">
        <v>78</v>
      </c>
      <c r="L3" s="710"/>
      <c r="M3" s="706" t="s">
        <v>56</v>
      </c>
      <c r="N3" s="710"/>
      <c r="O3" s="710"/>
      <c r="P3" s="710"/>
      <c r="Q3" s="710"/>
      <c r="R3" s="710"/>
      <c r="S3" s="710"/>
      <c r="T3" s="710"/>
      <c r="U3" s="710"/>
      <c r="V3" s="710"/>
      <c r="W3" s="710"/>
      <c r="X3" s="707"/>
      <c r="Y3" s="715" t="s">
        <v>282</v>
      </c>
      <c r="Z3" s="717"/>
      <c r="AA3" s="706" t="s">
        <v>148</v>
      </c>
      <c r="AB3" s="707"/>
      <c r="AC3" s="237" t="s">
        <v>152</v>
      </c>
      <c r="AD3" s="715" t="s">
        <v>151</v>
      </c>
      <c r="AE3" s="716"/>
      <c r="AF3" s="716"/>
      <c r="AG3" s="716"/>
      <c r="AH3" s="716"/>
      <c r="AI3" s="708" t="s">
        <v>283</v>
      </c>
      <c r="AJ3" s="709"/>
      <c r="AK3" s="545" t="s">
        <v>247</v>
      </c>
      <c r="AL3" s="703" t="s">
        <v>95</v>
      </c>
      <c r="AM3" s="704"/>
      <c r="AN3" s="120"/>
      <c r="AO3" s="120"/>
    </row>
    <row r="4" spans="1:41" ht="60.6" thickBot="1">
      <c r="B4" s="293" t="s">
        <v>59</v>
      </c>
      <c r="C4" s="294" t="s">
        <v>60</v>
      </c>
      <c r="D4" s="295" t="s">
        <v>44</v>
      </c>
      <c r="E4" s="295" t="s">
        <v>68</v>
      </c>
      <c r="F4" s="295" t="s">
        <v>69</v>
      </c>
      <c r="G4" s="295" t="s">
        <v>4</v>
      </c>
      <c r="H4" s="295" t="s">
        <v>5</v>
      </c>
      <c r="I4" s="296" t="s">
        <v>53</v>
      </c>
      <c r="J4" s="296" t="s">
        <v>54</v>
      </c>
      <c r="K4" s="296" t="s">
        <v>77</v>
      </c>
      <c r="L4" s="296" t="s">
        <v>117</v>
      </c>
      <c r="M4" s="296" t="s">
        <v>98</v>
      </c>
      <c r="N4" s="296" t="s">
        <v>91</v>
      </c>
      <c r="O4" s="296" t="s">
        <v>116</v>
      </c>
      <c r="P4" s="295" t="s">
        <v>86</v>
      </c>
      <c r="Q4" s="296" t="s">
        <v>79</v>
      </c>
      <c r="R4" s="296" t="s">
        <v>70</v>
      </c>
      <c r="S4" s="296"/>
      <c r="T4" s="296" t="s">
        <v>105</v>
      </c>
      <c r="U4" s="296" t="s">
        <v>115</v>
      </c>
      <c r="V4" s="296" t="s">
        <v>93</v>
      </c>
      <c r="W4" s="296" t="s">
        <v>112</v>
      </c>
      <c r="X4" s="296" t="s">
        <v>129</v>
      </c>
      <c r="Y4" s="296" t="s">
        <v>76</v>
      </c>
      <c r="Z4" s="296" t="s">
        <v>74</v>
      </c>
      <c r="AA4" s="296" t="s">
        <v>149</v>
      </c>
      <c r="AB4" s="296" t="s">
        <v>153</v>
      </c>
      <c r="AC4" s="296" t="s">
        <v>253</v>
      </c>
      <c r="AD4" s="296" t="s">
        <v>255</v>
      </c>
      <c r="AE4" s="296" t="s">
        <v>154</v>
      </c>
      <c r="AF4" s="296" t="s">
        <v>118</v>
      </c>
      <c r="AG4" s="296" t="s">
        <v>131</v>
      </c>
      <c r="AH4" s="296" t="s">
        <v>130</v>
      </c>
      <c r="AI4" s="297" t="s">
        <v>57</v>
      </c>
      <c r="AJ4" s="296" t="s">
        <v>58</v>
      </c>
      <c r="AK4" s="295"/>
      <c r="AL4" s="296" t="s">
        <v>114</v>
      </c>
      <c r="AM4" s="298" t="s">
        <v>63</v>
      </c>
      <c r="AN4" s="122" t="s">
        <v>262</v>
      </c>
      <c r="AO4"/>
    </row>
    <row r="5" spans="1:41" ht="12.6" thickBot="1"/>
    <row r="6" spans="1:41" ht="36">
      <c r="A6" s="701" t="s">
        <v>43</v>
      </c>
      <c r="B6" s="238">
        <v>10</v>
      </c>
      <c r="C6" s="240" t="s">
        <v>64</v>
      </c>
      <c r="D6" s="240" t="s">
        <v>123</v>
      </c>
      <c r="E6" s="241" t="s">
        <v>71</v>
      </c>
      <c r="F6" s="241" t="s">
        <v>75</v>
      </c>
      <c r="G6" s="241">
        <v>2026</v>
      </c>
      <c r="H6" s="241">
        <v>2026</v>
      </c>
      <c r="I6" s="242">
        <v>1</v>
      </c>
      <c r="J6" s="242">
        <f>1-I6</f>
        <v>0</v>
      </c>
      <c r="K6" s="242"/>
      <c r="L6" s="244"/>
      <c r="M6" s="246"/>
      <c r="N6" s="246"/>
      <c r="O6" s="244"/>
      <c r="P6" s="245" t="s">
        <v>106</v>
      </c>
      <c r="Q6" s="241"/>
      <c r="R6" s="241"/>
      <c r="S6" s="241"/>
      <c r="T6" s="241"/>
      <c r="U6" s="246"/>
      <c r="V6" s="246"/>
      <c r="W6" s="244"/>
      <c r="X6" s="268">
        <v>3800000</v>
      </c>
      <c r="Y6" s="268"/>
      <c r="Z6" s="268"/>
      <c r="AA6" s="268" t="s">
        <v>61</v>
      </c>
      <c r="AB6" s="268"/>
      <c r="AC6" s="244"/>
      <c r="AD6" s="244"/>
      <c r="AE6" s="268">
        <v>0</v>
      </c>
      <c r="AF6" s="289">
        <v>88116</v>
      </c>
      <c r="AG6" s="268">
        <f>2831593</f>
        <v>2831593</v>
      </c>
      <c r="AH6" s="246">
        <v>50000</v>
      </c>
      <c r="AI6" s="248">
        <f>AH6*I6</f>
        <v>50000</v>
      </c>
      <c r="AJ6" s="248">
        <f>AH6*J6</f>
        <v>0</v>
      </c>
      <c r="AK6" s="249" t="s">
        <v>61</v>
      </c>
      <c r="AL6" s="290"/>
      <c r="AM6" s="269"/>
      <c r="AN6" s="582" t="s">
        <v>263</v>
      </c>
    </row>
    <row r="7" spans="1:41" ht="36">
      <c r="A7" s="705"/>
      <c r="B7" s="270">
        <v>13</v>
      </c>
      <c r="C7" s="271" t="s">
        <v>65</v>
      </c>
      <c r="D7" s="271" t="s">
        <v>124</v>
      </c>
      <c r="E7" s="272" t="s">
        <v>71</v>
      </c>
      <c r="F7" s="272" t="s">
        <v>75</v>
      </c>
      <c r="G7" s="272">
        <v>2030</v>
      </c>
      <c r="H7" s="272">
        <v>2030</v>
      </c>
      <c r="I7" s="274">
        <v>1</v>
      </c>
      <c r="J7" s="274">
        <f>1-I7</f>
        <v>0</v>
      </c>
      <c r="K7" s="274"/>
      <c r="L7" s="274"/>
      <c r="M7" s="276"/>
      <c r="N7" s="275">
        <v>414000</v>
      </c>
      <c r="O7" s="276"/>
      <c r="P7" s="277" t="s">
        <v>87</v>
      </c>
      <c r="Q7" s="278">
        <v>35</v>
      </c>
      <c r="R7" s="272">
        <v>15</v>
      </c>
      <c r="S7" s="272"/>
      <c r="T7" s="272"/>
      <c r="U7" s="272"/>
      <c r="V7" s="275">
        <f>MROUND((N7+(N7*(Q7/100))+(N7*(R7/100))),1000)</f>
        <v>621000</v>
      </c>
      <c r="W7" s="279">
        <f>V7*(1+Assumptions!$B$19)^1</f>
        <v>636525</v>
      </c>
      <c r="X7" s="279">
        <f>W7*(1+Assumptions!$B$19)^1</f>
        <v>652438.125</v>
      </c>
      <c r="Y7" s="279"/>
      <c r="Z7" s="279"/>
      <c r="AA7" s="279" t="s">
        <v>61</v>
      </c>
      <c r="AB7" s="279"/>
      <c r="AC7" s="279"/>
      <c r="AD7" s="279"/>
      <c r="AE7" s="279"/>
      <c r="AF7" s="276"/>
      <c r="AG7" s="276"/>
      <c r="AH7" s="275">
        <f>X7-AF7</f>
        <v>652438.125</v>
      </c>
      <c r="AI7" s="280">
        <f>AH7*I7</f>
        <v>652438.125</v>
      </c>
      <c r="AJ7" s="280">
        <f>AH7*J7</f>
        <v>0</v>
      </c>
      <c r="AK7" s="281" t="s">
        <v>61</v>
      </c>
      <c r="AL7" s="280"/>
      <c r="AM7" s="291"/>
      <c r="AN7" s="582" t="s">
        <v>264</v>
      </c>
      <c r="AO7"/>
    </row>
    <row r="8" spans="1:41" ht="36.6" thickBot="1">
      <c r="A8" s="702"/>
      <c r="B8" s="252">
        <v>14</v>
      </c>
      <c r="C8" s="254" t="s">
        <v>66</v>
      </c>
      <c r="D8" s="254" t="s">
        <v>125</v>
      </c>
      <c r="E8" s="255" t="s">
        <v>71</v>
      </c>
      <c r="F8" s="255" t="s">
        <v>75</v>
      </c>
      <c r="G8" s="255">
        <v>2030</v>
      </c>
      <c r="H8" s="255">
        <v>2030</v>
      </c>
      <c r="I8" s="256">
        <v>1</v>
      </c>
      <c r="J8" s="256">
        <f>1-I8</f>
        <v>0</v>
      </c>
      <c r="K8" s="256"/>
      <c r="L8" s="256"/>
      <c r="M8" s="257"/>
      <c r="N8" s="260">
        <v>210000</v>
      </c>
      <c r="O8" s="257"/>
      <c r="P8" s="258" t="s">
        <v>87</v>
      </c>
      <c r="Q8" s="259">
        <v>35</v>
      </c>
      <c r="R8" s="255">
        <v>15</v>
      </c>
      <c r="S8" s="255"/>
      <c r="T8" s="255"/>
      <c r="U8" s="255"/>
      <c r="V8" s="260">
        <f>MROUND((N8+(N8*(Q8/100))+(N8*(R8/100))),1000)</f>
        <v>315000</v>
      </c>
      <c r="W8" s="287">
        <f>V8*(1+Assumptions!$B$19)^1</f>
        <v>322875</v>
      </c>
      <c r="X8" s="287">
        <f>W8*(1+Assumptions!$B$19)^1</f>
        <v>330946.875</v>
      </c>
      <c r="Y8" s="287"/>
      <c r="Z8" s="287"/>
      <c r="AA8" s="287" t="s">
        <v>61</v>
      </c>
      <c r="AB8" s="287"/>
      <c r="AC8" s="287"/>
      <c r="AD8" s="287"/>
      <c r="AE8" s="287"/>
      <c r="AF8" s="257"/>
      <c r="AG8" s="257"/>
      <c r="AH8" s="260">
        <f>X8-AF8</f>
        <v>330946.875</v>
      </c>
      <c r="AI8" s="262">
        <f>AH8*I8</f>
        <v>330946.875</v>
      </c>
      <c r="AJ8" s="262">
        <f>AH8*J8</f>
        <v>0</v>
      </c>
      <c r="AK8" s="263" t="s">
        <v>61</v>
      </c>
      <c r="AL8" s="262"/>
      <c r="AM8" s="292"/>
      <c r="AN8" s="582" t="s">
        <v>264</v>
      </c>
      <c r="AO8"/>
    </row>
    <row r="9" spans="1:41" ht="14.4">
      <c r="B9" s="121"/>
      <c r="C9" s="123"/>
      <c r="D9" s="123"/>
      <c r="E9" s="121"/>
      <c r="F9" s="121"/>
      <c r="G9" s="121"/>
      <c r="H9" s="121"/>
      <c r="I9" s="120"/>
      <c r="J9" s="120"/>
      <c r="K9" s="120"/>
      <c r="L9" s="120"/>
      <c r="N9" s="119"/>
      <c r="P9" s="121"/>
      <c r="Q9" s="121"/>
      <c r="R9" s="120"/>
      <c r="S9" s="120"/>
      <c r="T9" s="120"/>
      <c r="U9" s="120"/>
      <c r="V9" s="119"/>
      <c r="W9" s="119"/>
      <c r="X9" s="125">
        <f>SUM(X6:X8)</f>
        <v>4783385</v>
      </c>
      <c r="Y9" s="125"/>
      <c r="Z9" s="125"/>
      <c r="AA9" s="119"/>
      <c r="AB9" s="119"/>
      <c r="AC9" s="119"/>
      <c r="AD9" s="119"/>
      <c r="AE9" s="119"/>
      <c r="AI9" s="133">
        <f>SUM(AI6:AI8)</f>
        <v>1033385</v>
      </c>
      <c r="AJ9" s="125">
        <f>SUM(AJ6:AJ8)</f>
        <v>0</v>
      </c>
      <c r="AK9" s="121"/>
      <c r="AL9" s="121"/>
      <c r="AM9" s="122"/>
      <c r="AN9" s="122"/>
      <c r="AO9"/>
    </row>
    <row r="10" spans="1:41" ht="14.4">
      <c r="AO10"/>
    </row>
    <row r="11" spans="1:41" ht="15" thickBot="1">
      <c r="AO11"/>
    </row>
    <row r="12" spans="1:41" ht="36">
      <c r="A12" s="712" t="s">
        <v>85</v>
      </c>
      <c r="B12" s="238" t="s">
        <v>67</v>
      </c>
      <c r="C12" s="654" t="s">
        <v>286</v>
      </c>
      <c r="D12" s="240" t="s">
        <v>126</v>
      </c>
      <c r="E12" s="542" t="s">
        <v>71</v>
      </c>
      <c r="F12" s="241" t="s">
        <v>72</v>
      </c>
      <c r="G12" s="241">
        <v>2027</v>
      </c>
      <c r="H12" s="241">
        <v>2030</v>
      </c>
      <c r="I12" s="265">
        <v>1</v>
      </c>
      <c r="J12" s="242">
        <f>1-I12</f>
        <v>0</v>
      </c>
      <c r="K12" s="242"/>
      <c r="L12" s="244"/>
      <c r="M12" s="246"/>
      <c r="N12" s="244"/>
      <c r="O12" s="244"/>
      <c r="P12" s="266" t="s">
        <v>87</v>
      </c>
      <c r="Q12" s="245">
        <v>50</v>
      </c>
      <c r="R12" s="267">
        <v>15</v>
      </c>
      <c r="S12" s="268">
        <v>3660000</v>
      </c>
      <c r="T12" s="268">
        <f>S12*(1+Assumptions!$B$19)^2</f>
        <v>3845287.4999999995</v>
      </c>
      <c r="U12" s="268">
        <f>T12*(1+Assumptions!$B$19)^1</f>
        <v>3941419.6874999991</v>
      </c>
      <c r="V12" s="268">
        <f>U12*(1+Assumptions!$B$19)^1</f>
        <v>4039955.1796874986</v>
      </c>
      <c r="W12" s="268">
        <f>V12*(1+Assumptions!$B$19)^1</f>
        <v>4140954.0591796855</v>
      </c>
      <c r="X12" s="268">
        <f>W12*(1+Assumptions!$B$19)^1</f>
        <v>4244477.9106591772</v>
      </c>
      <c r="Y12" s="247"/>
      <c r="Z12" s="247"/>
      <c r="AA12" s="247" t="s">
        <v>61</v>
      </c>
      <c r="AB12" s="247"/>
      <c r="AC12" s="247"/>
      <c r="AD12" s="247"/>
      <c r="AE12" s="247"/>
      <c r="AF12" s="246"/>
      <c r="AG12" s="246"/>
      <c r="AH12" s="246">
        <f>X12-AF12</f>
        <v>4244477.9106591772</v>
      </c>
      <c r="AI12" s="248">
        <f>AH12*I12</f>
        <v>4244477.9106591772</v>
      </c>
      <c r="AJ12" s="248">
        <f>AH12*J12</f>
        <v>0</v>
      </c>
      <c r="AK12" s="249" t="s">
        <v>61</v>
      </c>
      <c r="AL12" s="268"/>
      <c r="AM12" s="269"/>
      <c r="AN12" s="583" t="s">
        <v>265</v>
      </c>
    </row>
    <row r="13" spans="1:41" ht="48">
      <c r="A13" s="713"/>
      <c r="B13" s="270">
        <v>12</v>
      </c>
      <c r="C13" s="271" t="s">
        <v>96</v>
      </c>
      <c r="D13" s="271" t="s">
        <v>127</v>
      </c>
      <c r="E13" s="274" t="s">
        <v>246</v>
      </c>
      <c r="F13" s="274" t="s">
        <v>72</v>
      </c>
      <c r="G13" s="272">
        <v>2026</v>
      </c>
      <c r="H13" s="272">
        <v>2028</v>
      </c>
      <c r="I13" s="273">
        <v>0.56000000000000005</v>
      </c>
      <c r="J13" s="274">
        <f t="shared" ref="J13:J16" si="0">1-I13</f>
        <v>0.43999999999999995</v>
      </c>
      <c r="K13" s="274"/>
      <c r="L13" s="274"/>
      <c r="M13" s="275">
        <v>2500000</v>
      </c>
      <c r="N13" s="276"/>
      <c r="O13" s="276"/>
      <c r="P13" s="277" t="s">
        <v>87</v>
      </c>
      <c r="Q13" s="618">
        <v>35</v>
      </c>
      <c r="R13" s="655">
        <v>15</v>
      </c>
      <c r="S13" s="656"/>
      <c r="T13" s="275">
        <v>3750000</v>
      </c>
      <c r="U13" s="279">
        <f>T13*(1+Assumptions!$B$19)^1</f>
        <v>3843749.9999999995</v>
      </c>
      <c r="V13" s="279">
        <f>U13*(1+Assumptions!$B$19)^1</f>
        <v>3939843.7499999991</v>
      </c>
      <c r="W13" s="279">
        <f>V13*(1+Assumptions!$B$19)^1</f>
        <v>4038339.8437499986</v>
      </c>
      <c r="X13" s="279">
        <f>W13*(1+Assumptions!$B$19)^1</f>
        <v>4139298.3398437481</v>
      </c>
      <c r="Y13" s="657"/>
      <c r="Z13" s="657"/>
      <c r="AA13" s="657" t="s">
        <v>61</v>
      </c>
      <c r="AB13" s="657"/>
      <c r="AC13" s="657"/>
      <c r="AD13" s="657"/>
      <c r="AE13" s="657"/>
      <c r="AF13" s="275"/>
      <c r="AG13" s="275"/>
      <c r="AH13" s="275">
        <f>X13-AF13</f>
        <v>4139298.3398437481</v>
      </c>
      <c r="AI13" s="280">
        <f>AH13*I13</f>
        <v>2318007.0703124991</v>
      </c>
      <c r="AJ13" s="280">
        <f>AH13*J13</f>
        <v>1821291.2695312491</v>
      </c>
      <c r="AK13" s="281" t="s">
        <v>61</v>
      </c>
      <c r="AL13" s="276"/>
      <c r="AM13" s="282"/>
      <c r="AN13" s="582" t="s">
        <v>266</v>
      </c>
      <c r="AO13"/>
    </row>
    <row r="14" spans="1:41" ht="66.75" customHeight="1">
      <c r="A14" s="713"/>
      <c r="B14" s="270" t="s">
        <v>109</v>
      </c>
      <c r="C14" s="658" t="s">
        <v>110</v>
      </c>
      <c r="D14" s="271" t="s">
        <v>128</v>
      </c>
      <c r="E14" s="283" t="s">
        <v>71</v>
      </c>
      <c r="F14" s="283" t="s">
        <v>75</v>
      </c>
      <c r="G14" s="272">
        <v>2026</v>
      </c>
      <c r="H14" s="272">
        <v>2026</v>
      </c>
      <c r="I14" s="283">
        <v>0.71099999999999997</v>
      </c>
      <c r="J14" s="283">
        <f>1-I14</f>
        <v>0.28900000000000003</v>
      </c>
      <c r="K14" s="283"/>
      <c r="L14" s="283"/>
      <c r="M14" s="275"/>
      <c r="N14" s="276"/>
      <c r="O14" s="276"/>
      <c r="P14" s="272" t="s">
        <v>106</v>
      </c>
      <c r="Q14" s="278"/>
      <c r="R14" s="659"/>
      <c r="S14" s="659"/>
      <c r="T14" s="275"/>
      <c r="U14" s="660"/>
      <c r="V14" s="661"/>
      <c r="W14" s="275"/>
      <c r="X14" s="275">
        <v>3850000</v>
      </c>
      <c r="Y14" s="275"/>
      <c r="Z14" s="275"/>
      <c r="AA14" s="657" t="s">
        <v>61</v>
      </c>
      <c r="AB14" s="657"/>
      <c r="AC14" s="657"/>
      <c r="AD14" s="657"/>
      <c r="AE14" s="657"/>
      <c r="AF14" s="275"/>
      <c r="AG14" s="275"/>
      <c r="AH14" s="275">
        <f>X14-AF14</f>
        <v>3850000</v>
      </c>
      <c r="AI14" s="280">
        <f>AH14*I14</f>
        <v>2737350</v>
      </c>
      <c r="AJ14" s="280">
        <f>AH14*J14</f>
        <v>1112650.0000000002</v>
      </c>
      <c r="AK14" s="281" t="s">
        <v>61</v>
      </c>
      <c r="AL14" s="276"/>
      <c r="AM14" s="282"/>
      <c r="AN14" s="582" t="s">
        <v>267</v>
      </c>
      <c r="AO14"/>
    </row>
    <row r="15" spans="1:41" ht="66.75" customHeight="1">
      <c r="A15" s="713"/>
      <c r="B15" s="270" t="s">
        <v>111</v>
      </c>
      <c r="C15" s="658" t="s">
        <v>110</v>
      </c>
      <c r="D15" s="271" t="s">
        <v>128</v>
      </c>
      <c r="E15" s="283" t="s">
        <v>71</v>
      </c>
      <c r="F15" s="272" t="s">
        <v>72</v>
      </c>
      <c r="G15" s="272">
        <v>2027</v>
      </c>
      <c r="H15" s="272">
        <v>2027</v>
      </c>
      <c r="I15" s="283">
        <v>0.71099999999999997</v>
      </c>
      <c r="J15" s="283">
        <f t="shared" ref="J15" si="1">1-I15</f>
        <v>0.28900000000000003</v>
      </c>
      <c r="K15" s="283"/>
      <c r="L15" s="283"/>
      <c r="M15" s="275"/>
      <c r="N15" s="276"/>
      <c r="O15" s="276"/>
      <c r="P15" s="272" t="s">
        <v>106</v>
      </c>
      <c r="Q15" s="278"/>
      <c r="R15" s="659"/>
      <c r="S15" s="659"/>
      <c r="T15" s="275"/>
      <c r="U15" s="279"/>
      <c r="V15" s="279"/>
      <c r="W15" s="279"/>
      <c r="X15" s="279">
        <v>926725</v>
      </c>
      <c r="Y15" s="657"/>
      <c r="Z15" s="657"/>
      <c r="AA15" s="657" t="s">
        <v>61</v>
      </c>
      <c r="AB15" s="657"/>
      <c r="AC15" s="657"/>
      <c r="AD15" s="657"/>
      <c r="AE15" s="657"/>
      <c r="AF15" s="275"/>
      <c r="AG15" s="275"/>
      <c r="AH15" s="275">
        <f>X15-AF15</f>
        <v>926725</v>
      </c>
      <c r="AI15" s="280">
        <f>AH15*I15</f>
        <v>658901.47499999998</v>
      </c>
      <c r="AJ15" s="280">
        <f>AH15*J15</f>
        <v>267823.52500000002</v>
      </c>
      <c r="AK15" s="281" t="s">
        <v>61</v>
      </c>
      <c r="AL15" s="276"/>
      <c r="AM15" s="282"/>
      <c r="AN15" s="582" t="s">
        <v>267</v>
      </c>
      <c r="AO15"/>
    </row>
    <row r="16" spans="1:41" ht="66.75" customHeight="1" thickBot="1">
      <c r="A16" s="714"/>
      <c r="B16" s="252" t="s">
        <v>270</v>
      </c>
      <c r="C16" s="284" t="s">
        <v>110</v>
      </c>
      <c r="D16" s="254" t="s">
        <v>128</v>
      </c>
      <c r="E16" s="543" t="s">
        <v>246</v>
      </c>
      <c r="F16" s="255" t="s">
        <v>72</v>
      </c>
      <c r="G16" s="255">
        <v>2027</v>
      </c>
      <c r="H16" s="255">
        <v>2028</v>
      </c>
      <c r="I16" s="285">
        <v>0.71099999999999997</v>
      </c>
      <c r="J16" s="285">
        <f t="shared" si="0"/>
        <v>0.28900000000000003</v>
      </c>
      <c r="K16" s="285"/>
      <c r="L16" s="285"/>
      <c r="M16" s="260"/>
      <c r="N16" s="257"/>
      <c r="O16" s="617">
        <v>316200</v>
      </c>
      <c r="P16" s="258" t="s">
        <v>87</v>
      </c>
      <c r="Q16" s="259">
        <v>35</v>
      </c>
      <c r="R16" s="286">
        <v>15</v>
      </c>
      <c r="S16" s="286"/>
      <c r="T16" s="260"/>
      <c r="U16" s="287"/>
      <c r="V16" s="287"/>
      <c r="W16" s="260">
        <v>474298.04878048785</v>
      </c>
      <c r="X16" s="287">
        <f>W16*(1+Assumptions!$B$19)^1</f>
        <v>486155.5</v>
      </c>
      <c r="Y16" s="261"/>
      <c r="Z16" s="261"/>
      <c r="AA16" s="261" t="s">
        <v>61</v>
      </c>
      <c r="AB16" s="261"/>
      <c r="AC16" s="261"/>
      <c r="AD16" s="261"/>
      <c r="AE16" s="261"/>
      <c r="AF16" s="260"/>
      <c r="AG16" s="260"/>
      <c r="AH16" s="260">
        <f>X16-AF16</f>
        <v>486155.5</v>
      </c>
      <c r="AI16" s="262">
        <f>AH16*I16</f>
        <v>345656.56049999996</v>
      </c>
      <c r="AJ16" s="262">
        <f>AH16*J16</f>
        <v>140498.93950000001</v>
      </c>
      <c r="AK16" s="263" t="s">
        <v>61</v>
      </c>
      <c r="AL16" s="257"/>
      <c r="AM16" s="288"/>
      <c r="AN16" s="582" t="s">
        <v>267</v>
      </c>
      <c r="AO16"/>
    </row>
    <row r="17" spans="1:41" ht="14.4">
      <c r="W17" s="124"/>
      <c r="X17" s="125">
        <f>SUM(X12:X16)</f>
        <v>13646656.750502925</v>
      </c>
      <c r="Y17" s="132"/>
      <c r="Z17" s="132"/>
      <c r="AA17" s="124"/>
      <c r="AB17" s="124"/>
      <c r="AC17" s="124"/>
      <c r="AD17" s="124"/>
      <c r="AE17" s="124"/>
      <c r="AI17" s="132">
        <f>SUM(AI12:AI16)</f>
        <v>10304393.016471675</v>
      </c>
      <c r="AJ17" s="132">
        <f>SUM(AJ12:AJ16)</f>
        <v>3342263.7340312488</v>
      </c>
      <c r="AO17"/>
    </row>
    <row r="18" spans="1:41" ht="14.4">
      <c r="U18" s="56"/>
      <c r="AO18"/>
    </row>
    <row r="19" spans="1:41" ht="15" thickBot="1">
      <c r="AO19"/>
    </row>
    <row r="20" spans="1:41" ht="48">
      <c r="A20" s="701" t="s">
        <v>113</v>
      </c>
      <c r="B20" s="238" t="s">
        <v>155</v>
      </c>
      <c r="C20" s="239" t="s">
        <v>132</v>
      </c>
      <c r="D20" s="240" t="s">
        <v>48</v>
      </c>
      <c r="E20" s="241" t="s">
        <v>71</v>
      </c>
      <c r="F20" s="241" t="s">
        <v>72</v>
      </c>
      <c r="G20" s="241">
        <v>2026</v>
      </c>
      <c r="H20" s="241">
        <v>2026</v>
      </c>
      <c r="I20" s="242">
        <v>1</v>
      </c>
      <c r="J20" s="242">
        <f>1-I20</f>
        <v>0</v>
      </c>
      <c r="K20" s="243">
        <f>75693189.78/102457309.12</f>
        <v>0.73877784249971523</v>
      </c>
      <c r="L20" s="243">
        <f>26764119.34/102457309.12</f>
        <v>0.26122215750028471</v>
      </c>
      <c r="M20" s="244"/>
      <c r="N20" s="244"/>
      <c r="O20" s="244"/>
      <c r="P20" s="245" t="s">
        <v>106</v>
      </c>
      <c r="Q20" s="245"/>
      <c r="R20" s="245"/>
      <c r="S20" s="245"/>
      <c r="T20" s="244"/>
      <c r="U20" s="246"/>
      <c r="V20" s="244"/>
      <c r="W20" s="247"/>
      <c r="X20" s="268">
        <v>102114508.65000001</v>
      </c>
      <c r="Y20" s="268">
        <v>75439936.388365507</v>
      </c>
      <c r="Z20" s="268">
        <v>26674572.261634499</v>
      </c>
      <c r="AA20" s="247" t="s">
        <v>62</v>
      </c>
      <c r="AB20" s="246">
        <v>29800000</v>
      </c>
      <c r="AC20" s="246">
        <v>30189414</v>
      </c>
      <c r="AD20" s="268">
        <v>801451.98</v>
      </c>
      <c r="AE20" s="268">
        <f>465255+10261</f>
        <v>475516</v>
      </c>
      <c r="AF20" s="268">
        <f>1821573+2000000</f>
        <v>3821573</v>
      </c>
      <c r="AG20" s="246">
        <v>20983612</v>
      </c>
      <c r="AH20" s="246">
        <f>Y20-AC20-AG20-AF20-AE20-AD20</f>
        <v>19168369.408365507</v>
      </c>
      <c r="AI20" s="544">
        <f>AH20*I20</f>
        <v>19168369.408365507</v>
      </c>
      <c r="AJ20" s="248">
        <f>AH20*J20</f>
        <v>0</v>
      </c>
      <c r="AK20" s="249" t="s">
        <v>61</v>
      </c>
      <c r="AL20" s="250"/>
      <c r="AM20" s="251"/>
      <c r="AN20" s="584" t="s">
        <v>268</v>
      </c>
      <c r="AO20"/>
    </row>
    <row r="21" spans="1:41" ht="36.6" thickBot="1">
      <c r="A21" s="702"/>
      <c r="B21" s="252" t="s">
        <v>156</v>
      </c>
      <c r="C21" s="253" t="s">
        <v>133</v>
      </c>
      <c r="D21" s="254" t="s">
        <v>150</v>
      </c>
      <c r="E21" s="255" t="s">
        <v>71</v>
      </c>
      <c r="F21" s="255" t="s">
        <v>72</v>
      </c>
      <c r="G21" s="255">
        <v>2033</v>
      </c>
      <c r="H21" s="255">
        <v>2034</v>
      </c>
      <c r="I21" s="256">
        <v>1</v>
      </c>
      <c r="J21" s="256">
        <v>0</v>
      </c>
      <c r="K21" s="256">
        <f>12464150/13407500</f>
        <v>0.92964012679470442</v>
      </c>
      <c r="L21" s="256">
        <f>943350/13407500</f>
        <v>7.0359873205295548E-2</v>
      </c>
      <c r="M21" s="257"/>
      <c r="N21" s="257"/>
      <c r="O21" s="257"/>
      <c r="P21" s="258" t="s">
        <v>89</v>
      </c>
      <c r="Q21" s="259">
        <v>10</v>
      </c>
      <c r="R21" s="259">
        <v>15</v>
      </c>
      <c r="S21" s="259"/>
      <c r="T21" s="257"/>
      <c r="U21" s="260"/>
      <c r="V21" s="257"/>
      <c r="W21" s="261"/>
      <c r="X21" s="287">
        <v>13407500</v>
      </c>
      <c r="Y21" s="287">
        <v>12464150</v>
      </c>
      <c r="Z21" s="287">
        <f>X21-Y21</f>
        <v>943350</v>
      </c>
      <c r="AA21" s="261" t="s">
        <v>61</v>
      </c>
      <c r="AB21" s="260"/>
      <c r="AC21" s="260"/>
      <c r="AD21" s="261"/>
      <c r="AE21" s="261"/>
      <c r="AF21" s="261"/>
      <c r="AG21" s="260"/>
      <c r="AH21" s="260">
        <f>Y21</f>
        <v>12464150</v>
      </c>
      <c r="AI21" s="262">
        <f>AH21*I21</f>
        <v>12464150</v>
      </c>
      <c r="AJ21" s="262">
        <f>AH21*J21</f>
        <v>0</v>
      </c>
      <c r="AK21" s="263" t="s">
        <v>61</v>
      </c>
      <c r="AL21" s="257"/>
      <c r="AM21" s="264"/>
      <c r="AN21" s="584" t="s">
        <v>269</v>
      </c>
      <c r="AO21"/>
    </row>
    <row r="22" spans="1:41">
      <c r="X22" s="125">
        <f>SUM(X20:X21)</f>
        <v>115522008.65000001</v>
      </c>
      <c r="AI22" s="132">
        <f>SUM(AI20:AI21)</f>
        <v>31632519.408365507</v>
      </c>
      <c r="AJ22" s="586">
        <f>SUM(AJ20:AJ21)</f>
        <v>0</v>
      </c>
    </row>
    <row r="24" spans="1:41">
      <c r="X24" s="56"/>
      <c r="Y24" s="56"/>
      <c r="Z24" s="56"/>
      <c r="AA24" s="56"/>
      <c r="AB24" s="56"/>
      <c r="AC24" s="56"/>
      <c r="AD24" s="56"/>
      <c r="AE24" s="56"/>
      <c r="AF24" s="56"/>
      <c r="AG24" s="56"/>
    </row>
    <row r="25" spans="1:41">
      <c r="N25" s="126"/>
    </row>
    <row r="26" spans="1:41" ht="16.2">
      <c r="D26" s="585"/>
      <c r="E26" s="585"/>
      <c r="F26" s="585"/>
      <c r="G26" s="585"/>
      <c r="H26" s="585"/>
      <c r="I26" s="585"/>
      <c r="J26" s="585"/>
      <c r="K26" s="585"/>
      <c r="L26" s="585"/>
    </row>
    <row r="27" spans="1:41">
      <c r="W27" s="56"/>
    </row>
  </sheetData>
  <mergeCells count="14">
    <mergeCell ref="A20:A21"/>
    <mergeCell ref="AL3:AM3"/>
    <mergeCell ref="A6:A8"/>
    <mergeCell ref="E3:F3"/>
    <mergeCell ref="G3:H3"/>
    <mergeCell ref="I3:J3"/>
    <mergeCell ref="AI3:AJ3"/>
    <mergeCell ref="K3:L3"/>
    <mergeCell ref="M3:X3"/>
    <mergeCell ref="AA3:AB3"/>
    <mergeCell ref="B3:D3"/>
    <mergeCell ref="A12:A16"/>
    <mergeCell ref="AD3:AH3"/>
    <mergeCell ref="Y3:Z3"/>
  </mergeCells>
  <conditionalFormatting sqref="AK6:AK8 AK12:AK16">
    <cfRule type="cellIs" dxfId="1" priority="13" operator="equal">
      <formula>"""Yes"""</formula>
    </cfRule>
  </conditionalFormatting>
  <conditionalFormatting sqref="AK20:AK21">
    <cfRule type="cellIs" dxfId="0" priority="8" operator="equal">
      <formula>"""Yes"""</formula>
    </cfRule>
  </conditionalFormatting>
  <dataValidations count="2">
    <dataValidation type="list" allowBlank="1" showInputMessage="1" showErrorMessage="1" sqref="P7:P8 P12:P13 P21 P16" xr:uid="{AF6BF711-D49E-4E02-8553-8AE9B894D71F}">
      <formula1>"Conceptual, Preliminary Design, Detailed Design, Tendered"</formula1>
    </dataValidation>
    <dataValidation type="list" allowBlank="1" showInputMessage="1" showErrorMessage="1" sqref="AK20:AK21 AK6:AK8 AK12:AK16" xr:uid="{40CEBF79-C15E-4E70-BBE4-945A2A4B011A}">
      <formula1>"Yes,No"</formula1>
    </dataValidation>
  </dataValidations>
  <pageMargins left="0.25" right="0.25" top="0.75" bottom="0.75" header="0.3" footer="0.3"/>
  <pageSetup paperSize="4" scale="2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33A78-5709-4F7F-9207-D13184581B3A}">
  <sheetPr codeName="Sheet6">
    <tabColor theme="0" tint="-0.14999847407452621"/>
  </sheetPr>
  <dimension ref="A2:V124"/>
  <sheetViews>
    <sheetView showGridLines="0" zoomScale="70" zoomScaleNormal="70" workbookViewId="0">
      <selection activeCell="V17" sqref="V17"/>
    </sheetView>
  </sheetViews>
  <sheetFormatPr defaultColWidth="8.5546875" defaultRowHeight="18.75" customHeight="1"/>
  <cols>
    <col min="1" max="1" width="35.5546875" style="390" customWidth="1"/>
    <col min="2" max="2" width="14.5546875" style="388" customWidth="1"/>
    <col min="3" max="3" width="22.109375" style="388" customWidth="1"/>
    <col min="4" max="4" width="23.21875" style="388" customWidth="1"/>
    <col min="5" max="12" width="27.88671875" style="388" customWidth="1"/>
    <col min="13" max="13" width="4.21875" style="388" customWidth="1"/>
    <col min="14" max="14" width="8.88671875" style="388" customWidth="1"/>
    <col min="15" max="15" width="13" style="388" customWidth="1"/>
    <col min="16" max="16" width="17.109375" style="388" customWidth="1"/>
    <col min="17" max="17" width="3.109375" style="388" customWidth="1"/>
    <col min="18" max="18" width="42.5546875" style="389" customWidth="1"/>
    <col min="19" max="19" width="20.88671875" style="389" customWidth="1"/>
    <col min="20" max="20" width="25.5546875" style="390" customWidth="1"/>
    <col min="21" max="21" width="25.44140625" style="390" customWidth="1"/>
    <col min="22" max="22" width="31" style="390" customWidth="1"/>
    <col min="23" max="16384" width="8.5546875" style="390"/>
  </cols>
  <sheetData>
    <row r="2" spans="2:22" ht="18.75" customHeight="1" thickBot="1"/>
    <row r="3" spans="2:22" ht="36.75" customHeight="1" thickBot="1">
      <c r="B3" s="387" t="s">
        <v>242</v>
      </c>
      <c r="R3" s="539" t="s">
        <v>245</v>
      </c>
      <c r="S3" s="540">
        <f>'2026 Collections Summary'!$D$15</f>
        <v>18.475999999999999</v>
      </c>
    </row>
    <row r="4" spans="2:22" ht="18.75" customHeight="1" thickBot="1">
      <c r="B4" s="390" t="s">
        <v>163</v>
      </c>
      <c r="R4" s="531"/>
      <c r="S4" s="391"/>
    </row>
    <row r="5" spans="2:22" ht="18.75" hidden="1" customHeight="1"/>
    <row r="6" spans="2:22" ht="18.75" hidden="1" customHeight="1">
      <c r="S6" s="392" t="s">
        <v>185</v>
      </c>
      <c r="T6" s="393"/>
      <c r="U6" s="393"/>
      <c r="V6" s="393"/>
    </row>
    <row r="7" spans="2:22" ht="18.75" hidden="1" customHeight="1">
      <c r="S7" s="394">
        <f>SUM(S15:S124)</f>
        <v>672.43542435424399</v>
      </c>
      <c r="T7" s="395">
        <f>SUM(T15:T124)</f>
        <v>714.50000000000011</v>
      </c>
      <c r="U7" s="395">
        <f>SUM(U15:U124)</f>
        <v>714.5</v>
      </c>
    </row>
    <row r="8" spans="2:22" ht="18.75" hidden="1" customHeight="1">
      <c r="S8" s="396">
        <f>S14</f>
        <v>672.43542435424399</v>
      </c>
      <c r="T8" s="397">
        <f>T14</f>
        <v>714.50000000000011</v>
      </c>
      <c r="U8" s="397">
        <f>U14</f>
        <v>714.5</v>
      </c>
    </row>
    <row r="9" spans="2:22" ht="16.05" hidden="1" customHeight="1"/>
    <row r="10" spans="2:22" ht="18.75" hidden="1" customHeight="1" thickBot="1">
      <c r="O10" s="532"/>
    </row>
    <row r="11" spans="2:22" ht="75" customHeight="1" thickBot="1">
      <c r="B11" s="718" t="s">
        <v>249</v>
      </c>
      <c r="C11" s="719"/>
      <c r="D11" s="719"/>
      <c r="E11" s="719"/>
      <c r="F11" s="719"/>
      <c r="G11" s="719"/>
      <c r="H11" s="719"/>
      <c r="I11" s="719"/>
      <c r="J11" s="719"/>
      <c r="K11" s="719"/>
      <c r="L11" s="720"/>
      <c r="M11" s="398"/>
      <c r="N11" s="398"/>
      <c r="O11" s="726" t="s">
        <v>254</v>
      </c>
      <c r="P11" s="727"/>
      <c r="Q11" s="398"/>
      <c r="R11" s="723" t="s">
        <v>235</v>
      </c>
      <c r="S11" s="724"/>
      <c r="T11" s="724"/>
      <c r="U11" s="725"/>
    </row>
    <row r="12" spans="2:22" ht="55.35" customHeight="1">
      <c r="B12" s="399" t="s">
        <v>9</v>
      </c>
      <c r="C12" s="400" t="s">
        <v>29</v>
      </c>
      <c r="D12" s="400" t="s">
        <v>122</v>
      </c>
      <c r="E12" s="400" t="s">
        <v>30</v>
      </c>
      <c r="F12" s="400" t="s">
        <v>119</v>
      </c>
      <c r="G12" s="400" t="s">
        <v>120</v>
      </c>
      <c r="H12" s="400" t="s">
        <v>121</v>
      </c>
      <c r="I12" s="400" t="s">
        <v>46</v>
      </c>
      <c r="J12" s="400" t="s">
        <v>47</v>
      </c>
      <c r="K12" s="400" t="s">
        <v>22</v>
      </c>
      <c r="L12" s="401" t="s">
        <v>45</v>
      </c>
      <c r="M12" s="402"/>
      <c r="N12" s="402"/>
      <c r="O12" s="721" t="s">
        <v>207</v>
      </c>
      <c r="P12" s="722"/>
      <c r="Q12" s="402"/>
      <c r="R12" s="403" t="s">
        <v>84</v>
      </c>
      <c r="S12" s="404" t="s">
        <v>284</v>
      </c>
      <c r="T12" s="404" t="s">
        <v>165</v>
      </c>
      <c r="U12" s="405" t="s">
        <v>164</v>
      </c>
    </row>
    <row r="13" spans="2:22" ht="64.8" customHeight="1">
      <c r="B13" s="406"/>
      <c r="C13" s="407"/>
      <c r="D13" s="408"/>
      <c r="E13" s="408"/>
      <c r="F13" s="408"/>
      <c r="G13" s="409"/>
      <c r="H13" s="409"/>
      <c r="I13" s="409"/>
      <c r="J13" s="409"/>
      <c r="K13" s="410"/>
      <c r="L13" s="411"/>
      <c r="M13" s="412"/>
      <c r="N13" s="412"/>
      <c r="O13" s="434" t="s">
        <v>208</v>
      </c>
      <c r="P13" s="608" t="s">
        <v>108</v>
      </c>
      <c r="Q13" s="412"/>
      <c r="R13" s="413"/>
      <c r="S13" s="414"/>
      <c r="T13" s="414"/>
      <c r="U13" s="415"/>
    </row>
    <row r="14" spans="2:22" ht="34.200000000000003" thickBot="1">
      <c r="B14" s="416">
        <v>2025</v>
      </c>
      <c r="C14" s="417">
        <f>(D15-D14)/D14</f>
        <v>4.6263664058299979E-2</v>
      </c>
      <c r="D14" s="418">
        <v>33482</v>
      </c>
      <c r="E14" s="418">
        <v>1549</v>
      </c>
      <c r="F14" s="418">
        <v>934</v>
      </c>
      <c r="G14" s="419">
        <v>19.03</v>
      </c>
      <c r="H14" s="419">
        <v>9.5500000000000007</v>
      </c>
      <c r="I14" s="419">
        <f>+G14+I13</f>
        <v>19.03</v>
      </c>
      <c r="J14" s="419">
        <f>+H14+J13</f>
        <v>9.5500000000000007</v>
      </c>
      <c r="K14" s="420">
        <f t="shared" ref="K14:K77" si="0">ROUND(G14+H14,2)</f>
        <v>28.58</v>
      </c>
      <c r="L14" s="421">
        <v>0</v>
      </c>
      <c r="M14" s="412"/>
      <c r="N14" s="412"/>
      <c r="O14" s="460">
        <v>0</v>
      </c>
      <c r="P14" s="421">
        <v>0</v>
      </c>
      <c r="Q14" s="422"/>
      <c r="R14" s="541" t="s">
        <v>248</v>
      </c>
      <c r="S14" s="620">
        <v>672.43542435424399</v>
      </c>
      <c r="T14" s="423">
        <v>714.50000000000011</v>
      </c>
      <c r="U14" s="424">
        <v>714.5</v>
      </c>
    </row>
    <row r="15" spans="2:22" ht="18.75" customHeight="1">
      <c r="B15" s="425">
        <v>2026</v>
      </c>
      <c r="C15" s="426">
        <f t="shared" ref="C15:C76" si="1">(D16-D15)/D15</f>
        <v>4.4217978362022209E-2</v>
      </c>
      <c r="D15" s="427">
        <f>E15+D14</f>
        <v>35031</v>
      </c>
      <c r="E15" s="427">
        <f t="shared" ref="E15:E78" si="2">+E14</f>
        <v>1549</v>
      </c>
      <c r="F15" s="427">
        <v>934</v>
      </c>
      <c r="G15" s="428">
        <v>19.03</v>
      </c>
      <c r="H15" s="428">
        <v>9.5500000000000007</v>
      </c>
      <c r="I15" s="428">
        <f t="shared" ref="I15:J29" si="3">+G15+I14</f>
        <v>38.06</v>
      </c>
      <c r="J15" s="428">
        <f t="shared" si="3"/>
        <v>19.100000000000001</v>
      </c>
      <c r="K15" s="429">
        <f>ROUND(G15+H15,2)</f>
        <v>28.58</v>
      </c>
      <c r="L15" s="430">
        <f t="shared" ref="L15:L78" si="4">+K15+L14</f>
        <v>28.58</v>
      </c>
      <c r="M15" s="412"/>
      <c r="N15" s="412"/>
      <c r="O15" s="431">
        <f>S3</f>
        <v>18.475999999999999</v>
      </c>
      <c r="P15" s="430">
        <f>O15</f>
        <v>18.475999999999999</v>
      </c>
      <c r="Q15" s="412"/>
      <c r="R15" s="425">
        <v>2026</v>
      </c>
      <c r="S15" s="432">
        <f>IF($S$14&gt;P15,O15,IF($S$14-P14&gt;0,$S$14-P14,0))</f>
        <v>18.475999999999999</v>
      </c>
      <c r="T15" s="432">
        <f t="shared" ref="T15:T46" si="5">IF($T$14&gt;$P15,$O15,IF($T$14-$P14&gt;0,$T$14-$P14,0))</f>
        <v>18.475999999999999</v>
      </c>
      <c r="U15" s="433">
        <f t="shared" ref="U15:U46" si="6">IF($U$14&gt;$P15,$O15,IF($U$14-$P14&gt;0,$U$14-$P14,0))</f>
        <v>18.475999999999999</v>
      </c>
    </row>
    <row r="16" spans="2:22" ht="18.75" customHeight="1">
      <c r="B16" s="406">
        <v>2027</v>
      </c>
      <c r="C16" s="407">
        <f t="shared" si="1"/>
        <v>4.2345544013121926E-2</v>
      </c>
      <c r="D16" s="408">
        <f>E16+D15</f>
        <v>36580</v>
      </c>
      <c r="E16" s="408">
        <f t="shared" si="2"/>
        <v>1549</v>
      </c>
      <c r="F16" s="408">
        <v>934</v>
      </c>
      <c r="G16" s="409">
        <v>19.03</v>
      </c>
      <c r="H16" s="409">
        <v>9.5500000000000007</v>
      </c>
      <c r="I16" s="409">
        <f t="shared" si="3"/>
        <v>57.09</v>
      </c>
      <c r="J16" s="409">
        <f t="shared" si="3"/>
        <v>28.650000000000002</v>
      </c>
      <c r="K16" s="410">
        <f t="shared" si="0"/>
        <v>28.58</v>
      </c>
      <c r="L16" s="411">
        <f t="shared" si="4"/>
        <v>57.16</v>
      </c>
      <c r="M16" s="412"/>
      <c r="N16" s="412"/>
      <c r="O16" s="434">
        <f>K16</f>
        <v>28.58</v>
      </c>
      <c r="P16" s="411">
        <f t="shared" ref="P16:P47" si="7">O16+P15</f>
        <v>47.055999999999997</v>
      </c>
      <c r="Q16" s="412"/>
      <c r="R16" s="406">
        <v>2027</v>
      </c>
      <c r="S16" s="436">
        <f t="shared" ref="S16:S40" si="8">IF($S$14&gt;P16,O16,IF($S$14-P15&gt;0,$S$14-P15,0))</f>
        <v>28.58</v>
      </c>
      <c r="T16" s="436">
        <f t="shared" si="5"/>
        <v>28.58</v>
      </c>
      <c r="U16" s="437">
        <f t="shared" si="6"/>
        <v>28.58</v>
      </c>
    </row>
    <row r="17" spans="1:21" ht="18.75" customHeight="1">
      <c r="B17" s="406">
        <v>2028</v>
      </c>
      <c r="C17" s="407">
        <f>(D18-D17)/D17</f>
        <v>4.0625245875842535E-2</v>
      </c>
      <c r="D17" s="408">
        <f t="shared" ref="D17:D77" si="9">E17+D16</f>
        <v>38129</v>
      </c>
      <c r="E17" s="408">
        <f t="shared" si="2"/>
        <v>1549</v>
      </c>
      <c r="F17" s="408">
        <v>934</v>
      </c>
      <c r="G17" s="409">
        <v>19.03</v>
      </c>
      <c r="H17" s="409">
        <v>9.5500000000000007</v>
      </c>
      <c r="I17" s="409">
        <f t="shared" si="3"/>
        <v>76.12</v>
      </c>
      <c r="J17" s="409">
        <f t="shared" si="3"/>
        <v>38.200000000000003</v>
      </c>
      <c r="K17" s="410">
        <f t="shared" si="0"/>
        <v>28.58</v>
      </c>
      <c r="L17" s="411">
        <f t="shared" si="4"/>
        <v>85.74</v>
      </c>
      <c r="M17" s="412"/>
      <c r="N17" s="412"/>
      <c r="O17" s="434">
        <f t="shared" ref="O17:O80" si="10">K17</f>
        <v>28.58</v>
      </c>
      <c r="P17" s="435">
        <f t="shared" si="7"/>
        <v>75.635999999999996</v>
      </c>
      <c r="Q17" s="412"/>
      <c r="R17" s="406">
        <v>2028</v>
      </c>
      <c r="S17" s="436">
        <f t="shared" si="8"/>
        <v>28.58</v>
      </c>
      <c r="T17" s="436">
        <f t="shared" si="5"/>
        <v>28.58</v>
      </c>
      <c r="U17" s="437">
        <f t="shared" si="6"/>
        <v>28.58</v>
      </c>
    </row>
    <row r="18" spans="1:21" ht="18.75" customHeight="1">
      <c r="B18" s="406">
        <v>2029</v>
      </c>
      <c r="C18" s="407">
        <f t="shared" si="1"/>
        <v>3.9039266092040927E-2</v>
      </c>
      <c r="D18" s="408">
        <f t="shared" si="9"/>
        <v>39678</v>
      </c>
      <c r="E18" s="408">
        <f t="shared" si="2"/>
        <v>1549</v>
      </c>
      <c r="F18" s="408">
        <v>934</v>
      </c>
      <c r="G18" s="409">
        <v>19.03</v>
      </c>
      <c r="H18" s="409">
        <v>9.5500000000000007</v>
      </c>
      <c r="I18" s="409">
        <f t="shared" si="3"/>
        <v>95.15</v>
      </c>
      <c r="J18" s="409">
        <f t="shared" si="3"/>
        <v>47.75</v>
      </c>
      <c r="K18" s="410">
        <f t="shared" si="0"/>
        <v>28.58</v>
      </c>
      <c r="L18" s="411">
        <f t="shared" si="4"/>
        <v>114.32</v>
      </c>
      <c r="M18" s="412"/>
      <c r="N18" s="412"/>
      <c r="O18" s="434">
        <f t="shared" si="10"/>
        <v>28.58</v>
      </c>
      <c r="P18" s="435">
        <f t="shared" si="7"/>
        <v>104.21599999999999</v>
      </c>
      <c r="Q18" s="412"/>
      <c r="R18" s="406">
        <v>2029</v>
      </c>
      <c r="S18" s="436">
        <f t="shared" si="8"/>
        <v>28.58</v>
      </c>
      <c r="T18" s="436">
        <f t="shared" si="5"/>
        <v>28.58</v>
      </c>
      <c r="U18" s="437">
        <f t="shared" si="6"/>
        <v>28.58</v>
      </c>
    </row>
    <row r="19" spans="1:21" ht="18.75" customHeight="1">
      <c r="B19" s="406">
        <v>2030</v>
      </c>
      <c r="C19" s="407">
        <f t="shared" si="1"/>
        <v>3.7572464646954663E-2</v>
      </c>
      <c r="D19" s="408">
        <f t="shared" si="9"/>
        <v>41227</v>
      </c>
      <c r="E19" s="408">
        <f t="shared" si="2"/>
        <v>1549</v>
      </c>
      <c r="F19" s="408">
        <v>934</v>
      </c>
      <c r="G19" s="409">
        <v>19.03</v>
      </c>
      <c r="H19" s="409">
        <v>9.5500000000000007</v>
      </c>
      <c r="I19" s="409">
        <f t="shared" si="3"/>
        <v>114.18</v>
      </c>
      <c r="J19" s="409">
        <f t="shared" si="3"/>
        <v>57.3</v>
      </c>
      <c r="K19" s="410">
        <f t="shared" si="0"/>
        <v>28.58</v>
      </c>
      <c r="L19" s="411">
        <f t="shared" si="4"/>
        <v>142.89999999999998</v>
      </c>
      <c r="M19" s="412"/>
      <c r="N19" s="412"/>
      <c r="O19" s="434">
        <f t="shared" si="10"/>
        <v>28.58</v>
      </c>
      <c r="P19" s="435">
        <f t="shared" si="7"/>
        <v>132.79599999999999</v>
      </c>
      <c r="Q19" s="412"/>
      <c r="R19" s="406">
        <v>2030</v>
      </c>
      <c r="S19" s="436">
        <f t="shared" si="8"/>
        <v>28.58</v>
      </c>
      <c r="T19" s="436">
        <f t="shared" si="5"/>
        <v>28.58</v>
      </c>
      <c r="U19" s="437">
        <f t="shared" si="6"/>
        <v>28.58</v>
      </c>
    </row>
    <row r="20" spans="1:21" ht="18.75" customHeight="1">
      <c r="B20" s="406">
        <v>2031</v>
      </c>
      <c r="C20" s="407">
        <f>(D21-D20)/D20</f>
        <v>3.6211894520291756E-2</v>
      </c>
      <c r="D20" s="408">
        <f t="shared" si="9"/>
        <v>42776</v>
      </c>
      <c r="E20" s="408">
        <f t="shared" si="2"/>
        <v>1549</v>
      </c>
      <c r="F20" s="408">
        <v>934</v>
      </c>
      <c r="G20" s="409">
        <v>19.03</v>
      </c>
      <c r="H20" s="409">
        <v>9.5500000000000007</v>
      </c>
      <c r="I20" s="409">
        <f t="shared" si="3"/>
        <v>133.21</v>
      </c>
      <c r="J20" s="409">
        <f t="shared" si="3"/>
        <v>66.849999999999994</v>
      </c>
      <c r="K20" s="410">
        <f t="shared" si="0"/>
        <v>28.58</v>
      </c>
      <c r="L20" s="411">
        <f t="shared" si="4"/>
        <v>171.47999999999996</v>
      </c>
      <c r="M20" s="412"/>
      <c r="N20" s="412"/>
      <c r="O20" s="434">
        <f t="shared" si="10"/>
        <v>28.58</v>
      </c>
      <c r="P20" s="435">
        <f t="shared" si="7"/>
        <v>161.37599999999998</v>
      </c>
      <c r="Q20" s="412"/>
      <c r="R20" s="406">
        <v>2031</v>
      </c>
      <c r="S20" s="436">
        <f t="shared" si="8"/>
        <v>28.58</v>
      </c>
      <c r="T20" s="436">
        <f t="shared" si="5"/>
        <v>28.58</v>
      </c>
      <c r="U20" s="437">
        <f t="shared" si="6"/>
        <v>28.58</v>
      </c>
    </row>
    <row r="21" spans="1:21" ht="18.75" customHeight="1">
      <c r="B21" s="406">
        <v>2032</v>
      </c>
      <c r="C21" s="407">
        <f t="shared" si="1"/>
        <v>3.4946418499717989E-2</v>
      </c>
      <c r="D21" s="408">
        <f t="shared" si="9"/>
        <v>44325</v>
      </c>
      <c r="E21" s="408">
        <f t="shared" si="2"/>
        <v>1549</v>
      </c>
      <c r="F21" s="408">
        <v>934</v>
      </c>
      <c r="G21" s="409">
        <v>19.03</v>
      </c>
      <c r="H21" s="409">
        <v>9.5500000000000007</v>
      </c>
      <c r="I21" s="409">
        <f t="shared" si="3"/>
        <v>152.24</v>
      </c>
      <c r="J21" s="409">
        <f t="shared" si="3"/>
        <v>76.399999999999991</v>
      </c>
      <c r="K21" s="410">
        <f t="shared" si="0"/>
        <v>28.58</v>
      </c>
      <c r="L21" s="411">
        <f t="shared" si="4"/>
        <v>200.05999999999995</v>
      </c>
      <c r="M21" s="412"/>
      <c r="N21" s="412"/>
      <c r="O21" s="434">
        <f t="shared" si="10"/>
        <v>28.58</v>
      </c>
      <c r="P21" s="435">
        <f t="shared" si="7"/>
        <v>189.95599999999996</v>
      </c>
      <c r="Q21" s="412"/>
      <c r="R21" s="406">
        <v>2032</v>
      </c>
      <c r="S21" s="436">
        <f t="shared" si="8"/>
        <v>28.58</v>
      </c>
      <c r="T21" s="436">
        <f t="shared" si="5"/>
        <v>28.58</v>
      </c>
      <c r="U21" s="437">
        <f t="shared" si="6"/>
        <v>28.58</v>
      </c>
    </row>
    <row r="22" spans="1:21" ht="18.75" customHeight="1">
      <c r="B22" s="406">
        <v>2033</v>
      </c>
      <c r="C22" s="407">
        <f t="shared" si="1"/>
        <v>3.3766403627327024E-2</v>
      </c>
      <c r="D22" s="408">
        <f>E22+D21</f>
        <v>45874</v>
      </c>
      <c r="E22" s="408">
        <f t="shared" si="2"/>
        <v>1549</v>
      </c>
      <c r="F22" s="408">
        <v>934</v>
      </c>
      <c r="G22" s="409">
        <v>19.03</v>
      </c>
      <c r="H22" s="409">
        <v>9.5500000000000007</v>
      </c>
      <c r="I22" s="409">
        <f t="shared" si="3"/>
        <v>171.27</v>
      </c>
      <c r="J22" s="409">
        <f t="shared" si="3"/>
        <v>85.949999999999989</v>
      </c>
      <c r="K22" s="410">
        <f t="shared" si="0"/>
        <v>28.58</v>
      </c>
      <c r="L22" s="411">
        <f t="shared" si="4"/>
        <v>228.63999999999993</v>
      </c>
      <c r="M22" s="412"/>
      <c r="N22" s="412"/>
      <c r="O22" s="434">
        <f t="shared" si="10"/>
        <v>28.58</v>
      </c>
      <c r="P22" s="435">
        <f t="shared" si="7"/>
        <v>218.53599999999994</v>
      </c>
      <c r="Q22" s="412"/>
      <c r="R22" s="406">
        <v>2033</v>
      </c>
      <c r="S22" s="436">
        <f t="shared" si="8"/>
        <v>28.58</v>
      </c>
      <c r="T22" s="436">
        <f t="shared" si="5"/>
        <v>28.58</v>
      </c>
      <c r="U22" s="437">
        <f t="shared" si="6"/>
        <v>28.58</v>
      </c>
    </row>
    <row r="23" spans="1:21" ht="18.75" customHeight="1">
      <c r="B23" s="406">
        <v>2034</v>
      </c>
      <c r="C23" s="407">
        <f t="shared" si="1"/>
        <v>3.2663475528751873E-2</v>
      </c>
      <c r="D23" s="408">
        <f t="shared" si="9"/>
        <v>47423</v>
      </c>
      <c r="E23" s="408">
        <f t="shared" si="2"/>
        <v>1549</v>
      </c>
      <c r="F23" s="408">
        <v>934</v>
      </c>
      <c r="G23" s="409">
        <v>19.03</v>
      </c>
      <c r="H23" s="409">
        <v>9.5500000000000007</v>
      </c>
      <c r="I23" s="409">
        <f t="shared" si="3"/>
        <v>190.3</v>
      </c>
      <c r="J23" s="409">
        <f t="shared" si="3"/>
        <v>95.499999999999986</v>
      </c>
      <c r="K23" s="410">
        <f t="shared" si="0"/>
        <v>28.58</v>
      </c>
      <c r="L23" s="411">
        <f t="shared" si="4"/>
        <v>257.21999999999991</v>
      </c>
      <c r="M23" s="412"/>
      <c r="N23" s="412"/>
      <c r="O23" s="434">
        <f t="shared" si="10"/>
        <v>28.58</v>
      </c>
      <c r="P23" s="435">
        <f t="shared" si="7"/>
        <v>247.11599999999993</v>
      </c>
      <c r="Q23" s="412"/>
      <c r="R23" s="406">
        <v>2034</v>
      </c>
      <c r="S23" s="436">
        <f t="shared" si="8"/>
        <v>28.58</v>
      </c>
      <c r="T23" s="436">
        <f t="shared" si="5"/>
        <v>28.58</v>
      </c>
      <c r="U23" s="437">
        <f t="shared" si="6"/>
        <v>28.58</v>
      </c>
    </row>
    <row r="24" spans="1:21" ht="18.75" customHeight="1">
      <c r="B24" s="406">
        <v>2035</v>
      </c>
      <c r="C24" s="407">
        <f t="shared" si="1"/>
        <v>3.1630319366168426E-2</v>
      </c>
      <c r="D24" s="408">
        <f t="shared" si="9"/>
        <v>48972</v>
      </c>
      <c r="E24" s="408">
        <f t="shared" si="2"/>
        <v>1549</v>
      </c>
      <c r="F24" s="408">
        <v>934</v>
      </c>
      <c r="G24" s="409">
        <v>19.03</v>
      </c>
      <c r="H24" s="409">
        <v>9.5500000000000007</v>
      </c>
      <c r="I24" s="409">
        <f t="shared" si="3"/>
        <v>209.33</v>
      </c>
      <c r="J24" s="409">
        <f t="shared" si="3"/>
        <v>105.04999999999998</v>
      </c>
      <c r="K24" s="410">
        <f t="shared" si="0"/>
        <v>28.58</v>
      </c>
      <c r="L24" s="411">
        <f t="shared" si="4"/>
        <v>285.7999999999999</v>
      </c>
      <c r="M24" s="412"/>
      <c r="N24" s="412"/>
      <c r="O24" s="434">
        <f t="shared" si="10"/>
        <v>28.58</v>
      </c>
      <c r="P24" s="435">
        <f t="shared" si="7"/>
        <v>275.69599999999991</v>
      </c>
      <c r="Q24" s="412"/>
      <c r="R24" s="406">
        <v>2035</v>
      </c>
      <c r="S24" s="436">
        <f t="shared" si="8"/>
        <v>28.58</v>
      </c>
      <c r="T24" s="436">
        <f t="shared" si="5"/>
        <v>28.58</v>
      </c>
      <c r="U24" s="437">
        <f t="shared" si="6"/>
        <v>28.58</v>
      </c>
    </row>
    <row r="25" spans="1:21" ht="18.75" customHeight="1">
      <c r="B25" s="406">
        <v>2036</v>
      </c>
      <c r="C25" s="407">
        <f t="shared" si="1"/>
        <v>3.0660517408602362E-2</v>
      </c>
      <c r="D25" s="408">
        <f t="shared" si="9"/>
        <v>50521</v>
      </c>
      <c r="E25" s="408">
        <f t="shared" si="2"/>
        <v>1549</v>
      </c>
      <c r="F25" s="408">
        <v>934</v>
      </c>
      <c r="G25" s="409">
        <v>19.03</v>
      </c>
      <c r="H25" s="409">
        <v>9.5500000000000007</v>
      </c>
      <c r="I25" s="409">
        <f t="shared" si="3"/>
        <v>228.36</v>
      </c>
      <c r="J25" s="409">
        <f t="shared" si="3"/>
        <v>114.59999999999998</v>
      </c>
      <c r="K25" s="410">
        <f t="shared" si="0"/>
        <v>28.58</v>
      </c>
      <c r="L25" s="411">
        <f t="shared" si="4"/>
        <v>314.37999999999988</v>
      </c>
      <c r="M25" s="412"/>
      <c r="N25" s="412"/>
      <c r="O25" s="434">
        <f t="shared" si="10"/>
        <v>28.58</v>
      </c>
      <c r="P25" s="435">
        <f t="shared" si="7"/>
        <v>304.2759999999999</v>
      </c>
      <c r="Q25" s="412"/>
      <c r="R25" s="406">
        <v>2036</v>
      </c>
      <c r="S25" s="436">
        <f t="shared" si="8"/>
        <v>28.58</v>
      </c>
      <c r="T25" s="436">
        <f t="shared" si="5"/>
        <v>28.58</v>
      </c>
      <c r="U25" s="437">
        <f t="shared" si="6"/>
        <v>28.58</v>
      </c>
    </row>
    <row r="26" spans="1:21" ht="18.75" customHeight="1">
      <c r="B26" s="406">
        <v>2037</v>
      </c>
      <c r="C26" s="407">
        <f t="shared" si="1"/>
        <v>2.9748415594392164E-2</v>
      </c>
      <c r="D26" s="408">
        <f t="shared" si="9"/>
        <v>52070</v>
      </c>
      <c r="E26" s="408">
        <f t="shared" si="2"/>
        <v>1549</v>
      </c>
      <c r="F26" s="408">
        <v>934</v>
      </c>
      <c r="G26" s="409">
        <v>19.03</v>
      </c>
      <c r="H26" s="409">
        <v>9.5500000000000007</v>
      </c>
      <c r="I26" s="409">
        <f t="shared" si="3"/>
        <v>247.39000000000001</v>
      </c>
      <c r="J26" s="409">
        <f t="shared" si="3"/>
        <v>124.14999999999998</v>
      </c>
      <c r="K26" s="410">
        <f t="shared" si="0"/>
        <v>28.58</v>
      </c>
      <c r="L26" s="411">
        <f t="shared" si="4"/>
        <v>342.95999999999987</v>
      </c>
      <c r="M26" s="412"/>
      <c r="N26" s="412"/>
      <c r="O26" s="434">
        <f t="shared" si="10"/>
        <v>28.58</v>
      </c>
      <c r="P26" s="435">
        <f t="shared" si="7"/>
        <v>332.85599999999988</v>
      </c>
      <c r="Q26" s="412"/>
      <c r="R26" s="406">
        <v>2037</v>
      </c>
      <c r="S26" s="436">
        <f t="shared" si="8"/>
        <v>28.58</v>
      </c>
      <c r="T26" s="436">
        <f t="shared" si="5"/>
        <v>28.58</v>
      </c>
      <c r="U26" s="437">
        <f t="shared" si="6"/>
        <v>28.58</v>
      </c>
    </row>
    <row r="27" spans="1:21" ht="18.75" customHeight="1">
      <c r="B27" s="406">
        <v>2038</v>
      </c>
      <c r="C27" s="407">
        <f t="shared" si="1"/>
        <v>2.8889013222924708E-2</v>
      </c>
      <c r="D27" s="408">
        <f t="shared" si="9"/>
        <v>53619</v>
      </c>
      <c r="E27" s="408">
        <f t="shared" si="2"/>
        <v>1549</v>
      </c>
      <c r="F27" s="408">
        <v>934</v>
      </c>
      <c r="G27" s="409">
        <v>19.03</v>
      </c>
      <c r="H27" s="409">
        <v>9.5500000000000007</v>
      </c>
      <c r="I27" s="409">
        <f t="shared" si="3"/>
        <v>266.42</v>
      </c>
      <c r="J27" s="409">
        <f t="shared" si="3"/>
        <v>133.69999999999999</v>
      </c>
      <c r="K27" s="410">
        <f t="shared" si="0"/>
        <v>28.58</v>
      </c>
      <c r="L27" s="411">
        <f t="shared" si="4"/>
        <v>371.53999999999985</v>
      </c>
      <c r="M27" s="412"/>
      <c r="N27" s="412"/>
      <c r="O27" s="434">
        <f t="shared" si="10"/>
        <v>28.58</v>
      </c>
      <c r="P27" s="435">
        <f t="shared" si="7"/>
        <v>361.43599999999986</v>
      </c>
      <c r="Q27" s="412"/>
      <c r="R27" s="406">
        <v>2038</v>
      </c>
      <c r="S27" s="436">
        <f t="shared" si="8"/>
        <v>28.58</v>
      </c>
      <c r="T27" s="436">
        <f t="shared" si="5"/>
        <v>28.58</v>
      </c>
      <c r="U27" s="437">
        <f t="shared" si="6"/>
        <v>28.58</v>
      </c>
    </row>
    <row r="28" spans="1:21" ht="18.75" customHeight="1">
      <c r="B28" s="406">
        <v>2039</v>
      </c>
      <c r="C28" s="407">
        <f t="shared" si="1"/>
        <v>2.8077871229698376E-2</v>
      </c>
      <c r="D28" s="408">
        <f t="shared" si="9"/>
        <v>55168</v>
      </c>
      <c r="E28" s="408">
        <f t="shared" si="2"/>
        <v>1549</v>
      </c>
      <c r="F28" s="408">
        <v>934</v>
      </c>
      <c r="G28" s="409">
        <v>19.03</v>
      </c>
      <c r="H28" s="409">
        <v>9.5500000000000007</v>
      </c>
      <c r="I28" s="409">
        <f t="shared" si="3"/>
        <v>285.45000000000005</v>
      </c>
      <c r="J28" s="409">
        <f t="shared" si="3"/>
        <v>143.25</v>
      </c>
      <c r="K28" s="410">
        <f t="shared" si="0"/>
        <v>28.58</v>
      </c>
      <c r="L28" s="411">
        <f t="shared" si="4"/>
        <v>400.11999999999983</v>
      </c>
      <c r="M28" s="412"/>
      <c r="N28" s="412"/>
      <c r="O28" s="434">
        <f t="shared" si="10"/>
        <v>28.58</v>
      </c>
      <c r="P28" s="435">
        <f t="shared" si="7"/>
        <v>390.01599999999985</v>
      </c>
      <c r="Q28" s="412"/>
      <c r="R28" s="406">
        <v>2039</v>
      </c>
      <c r="S28" s="436">
        <f t="shared" si="8"/>
        <v>28.58</v>
      </c>
      <c r="T28" s="436">
        <f t="shared" si="5"/>
        <v>28.58</v>
      </c>
      <c r="U28" s="437">
        <f t="shared" si="6"/>
        <v>28.58</v>
      </c>
    </row>
    <row r="29" spans="1:21" ht="18.75" customHeight="1">
      <c r="B29" s="406">
        <v>2040</v>
      </c>
      <c r="C29" s="407">
        <f t="shared" si="1"/>
        <v>2.7311035492004161E-2</v>
      </c>
      <c r="D29" s="408">
        <f t="shared" si="9"/>
        <v>56717</v>
      </c>
      <c r="E29" s="408">
        <f t="shared" si="2"/>
        <v>1549</v>
      </c>
      <c r="F29" s="408">
        <v>934</v>
      </c>
      <c r="G29" s="409">
        <v>19.03</v>
      </c>
      <c r="H29" s="409">
        <v>9.5500000000000007</v>
      </c>
      <c r="I29" s="409">
        <f t="shared" si="3"/>
        <v>304.48</v>
      </c>
      <c r="J29" s="409">
        <f t="shared" si="3"/>
        <v>152.80000000000001</v>
      </c>
      <c r="K29" s="410">
        <f t="shared" si="0"/>
        <v>28.58</v>
      </c>
      <c r="L29" s="411">
        <f t="shared" si="4"/>
        <v>428.69999999999982</v>
      </c>
      <c r="M29" s="412"/>
      <c r="N29" s="412"/>
      <c r="O29" s="434">
        <f t="shared" si="10"/>
        <v>28.58</v>
      </c>
      <c r="P29" s="435">
        <f t="shared" si="7"/>
        <v>418.59599999999983</v>
      </c>
      <c r="Q29" s="412"/>
      <c r="R29" s="406">
        <v>2040</v>
      </c>
      <c r="S29" s="436">
        <f t="shared" si="8"/>
        <v>28.58</v>
      </c>
      <c r="T29" s="436">
        <f t="shared" si="5"/>
        <v>28.58</v>
      </c>
      <c r="U29" s="437">
        <f t="shared" si="6"/>
        <v>28.58</v>
      </c>
    </row>
    <row r="30" spans="1:21" ht="18.75" customHeight="1">
      <c r="A30" s="438"/>
      <c r="B30" s="406">
        <v>2041</v>
      </c>
      <c r="C30" s="407">
        <f t="shared" si="1"/>
        <v>2.6584972368104899E-2</v>
      </c>
      <c r="D30" s="408">
        <f t="shared" si="9"/>
        <v>58266</v>
      </c>
      <c r="E30" s="408">
        <f t="shared" si="2"/>
        <v>1549</v>
      </c>
      <c r="F30" s="408">
        <v>934</v>
      </c>
      <c r="G30" s="409">
        <v>19.03</v>
      </c>
      <c r="H30" s="409">
        <v>9.5500000000000007</v>
      </c>
      <c r="I30" s="409">
        <f t="shared" ref="I30:J45" si="11">+G30+I29</f>
        <v>323.51</v>
      </c>
      <c r="J30" s="409">
        <f t="shared" si="11"/>
        <v>162.35000000000002</v>
      </c>
      <c r="K30" s="410">
        <f t="shared" si="0"/>
        <v>28.58</v>
      </c>
      <c r="L30" s="411">
        <f t="shared" si="4"/>
        <v>457.2799999999998</v>
      </c>
      <c r="M30" s="412"/>
      <c r="N30" s="412"/>
      <c r="O30" s="434">
        <f t="shared" si="10"/>
        <v>28.58</v>
      </c>
      <c r="P30" s="435">
        <f t="shared" si="7"/>
        <v>447.17599999999982</v>
      </c>
      <c r="Q30" s="412"/>
      <c r="R30" s="406">
        <v>2041</v>
      </c>
      <c r="S30" s="436">
        <f t="shared" si="8"/>
        <v>28.58</v>
      </c>
      <c r="T30" s="436">
        <f t="shared" si="5"/>
        <v>28.58</v>
      </c>
      <c r="U30" s="437">
        <f t="shared" si="6"/>
        <v>28.58</v>
      </c>
    </row>
    <row r="31" spans="1:21" ht="18.75" customHeight="1">
      <c r="B31" s="406">
        <v>2042</v>
      </c>
      <c r="C31" s="407">
        <f t="shared" si="1"/>
        <v>2.5896514252277857E-2</v>
      </c>
      <c r="D31" s="408">
        <f t="shared" si="9"/>
        <v>59815</v>
      </c>
      <c r="E31" s="408">
        <f t="shared" si="2"/>
        <v>1549</v>
      </c>
      <c r="F31" s="408">
        <v>934</v>
      </c>
      <c r="G31" s="409">
        <v>19.03</v>
      </c>
      <c r="H31" s="409">
        <v>9.5500000000000007</v>
      </c>
      <c r="I31" s="409">
        <f t="shared" si="11"/>
        <v>342.53999999999996</v>
      </c>
      <c r="J31" s="409">
        <f t="shared" si="11"/>
        <v>171.90000000000003</v>
      </c>
      <c r="K31" s="410">
        <f t="shared" si="0"/>
        <v>28.58</v>
      </c>
      <c r="L31" s="411">
        <f t="shared" si="4"/>
        <v>485.85999999999979</v>
      </c>
      <c r="M31" s="412"/>
      <c r="N31" s="412"/>
      <c r="O31" s="434">
        <f t="shared" si="10"/>
        <v>28.58</v>
      </c>
      <c r="P31" s="435">
        <f t="shared" si="7"/>
        <v>475.7559999999998</v>
      </c>
      <c r="Q31" s="412"/>
      <c r="R31" s="406">
        <v>2042</v>
      </c>
      <c r="S31" s="436">
        <f t="shared" si="8"/>
        <v>28.58</v>
      </c>
      <c r="T31" s="436">
        <f t="shared" si="5"/>
        <v>28.58</v>
      </c>
      <c r="U31" s="437">
        <f t="shared" si="6"/>
        <v>28.58</v>
      </c>
    </row>
    <row r="32" spans="1:21" ht="18.75" customHeight="1">
      <c r="B32" s="406">
        <v>2043</v>
      </c>
      <c r="C32" s="407">
        <f t="shared" si="1"/>
        <v>2.5242813375920735E-2</v>
      </c>
      <c r="D32" s="408">
        <f t="shared" si="9"/>
        <v>61364</v>
      </c>
      <c r="E32" s="408">
        <f t="shared" si="2"/>
        <v>1549</v>
      </c>
      <c r="F32" s="408">
        <v>934</v>
      </c>
      <c r="G32" s="409">
        <v>19.03</v>
      </c>
      <c r="H32" s="409">
        <v>9.5500000000000007</v>
      </c>
      <c r="I32" s="409">
        <f t="shared" si="11"/>
        <v>361.56999999999994</v>
      </c>
      <c r="J32" s="409">
        <f t="shared" si="11"/>
        <v>181.45000000000005</v>
      </c>
      <c r="K32" s="410">
        <f t="shared" si="0"/>
        <v>28.58</v>
      </c>
      <c r="L32" s="411">
        <f t="shared" si="4"/>
        <v>514.43999999999983</v>
      </c>
      <c r="M32" s="412"/>
      <c r="N32" s="412"/>
      <c r="O32" s="434">
        <f t="shared" si="10"/>
        <v>28.58</v>
      </c>
      <c r="P32" s="435">
        <f t="shared" si="7"/>
        <v>504.33599999999979</v>
      </c>
      <c r="Q32" s="412"/>
      <c r="R32" s="406">
        <v>2043</v>
      </c>
      <c r="S32" s="436">
        <f t="shared" si="8"/>
        <v>28.58</v>
      </c>
      <c r="T32" s="436">
        <f t="shared" si="5"/>
        <v>28.58</v>
      </c>
      <c r="U32" s="437">
        <f t="shared" si="6"/>
        <v>28.58</v>
      </c>
    </row>
    <row r="33" spans="1:21" ht="18.75" customHeight="1">
      <c r="B33" s="406">
        <v>2044</v>
      </c>
      <c r="C33" s="407">
        <f t="shared" si="1"/>
        <v>2.4621302433519305E-2</v>
      </c>
      <c r="D33" s="408">
        <f t="shared" si="9"/>
        <v>62913</v>
      </c>
      <c r="E33" s="408">
        <f t="shared" si="2"/>
        <v>1549</v>
      </c>
      <c r="F33" s="408">
        <v>934</v>
      </c>
      <c r="G33" s="409">
        <v>19.03</v>
      </c>
      <c r="H33" s="409">
        <v>9.5500000000000007</v>
      </c>
      <c r="I33" s="409">
        <f t="shared" si="11"/>
        <v>380.59999999999991</v>
      </c>
      <c r="J33" s="409">
        <f t="shared" si="11"/>
        <v>191.00000000000006</v>
      </c>
      <c r="K33" s="410">
        <f t="shared" si="0"/>
        <v>28.58</v>
      </c>
      <c r="L33" s="411">
        <f t="shared" si="4"/>
        <v>543.01999999999987</v>
      </c>
      <c r="M33" s="412"/>
      <c r="N33" s="412"/>
      <c r="O33" s="434">
        <f t="shared" si="10"/>
        <v>28.58</v>
      </c>
      <c r="P33" s="435">
        <f t="shared" si="7"/>
        <v>532.91599999999983</v>
      </c>
      <c r="Q33" s="412"/>
      <c r="R33" s="406">
        <v>2044</v>
      </c>
      <c r="S33" s="436">
        <f t="shared" si="8"/>
        <v>28.58</v>
      </c>
      <c r="T33" s="436">
        <f t="shared" si="5"/>
        <v>28.58</v>
      </c>
      <c r="U33" s="437">
        <f t="shared" si="6"/>
        <v>28.58</v>
      </c>
    </row>
    <row r="34" spans="1:21" ht="18.75" customHeight="1">
      <c r="B34" s="406">
        <v>2045</v>
      </c>
      <c r="C34" s="407">
        <f t="shared" si="1"/>
        <v>2.4029660885482921E-2</v>
      </c>
      <c r="D34" s="408">
        <f t="shared" si="9"/>
        <v>64462</v>
      </c>
      <c r="E34" s="408">
        <f t="shared" si="2"/>
        <v>1549</v>
      </c>
      <c r="F34" s="408">
        <v>934</v>
      </c>
      <c r="G34" s="409">
        <v>19.03</v>
      </c>
      <c r="H34" s="409">
        <v>9.5500000000000007</v>
      </c>
      <c r="I34" s="409">
        <f t="shared" si="11"/>
        <v>399.62999999999988</v>
      </c>
      <c r="J34" s="409">
        <f t="shared" si="11"/>
        <v>200.55000000000007</v>
      </c>
      <c r="K34" s="410">
        <f t="shared" si="0"/>
        <v>28.58</v>
      </c>
      <c r="L34" s="411">
        <f t="shared" si="4"/>
        <v>571.59999999999991</v>
      </c>
      <c r="M34" s="412"/>
      <c r="N34" s="412"/>
      <c r="O34" s="434">
        <f t="shared" si="10"/>
        <v>28.58</v>
      </c>
      <c r="P34" s="435">
        <f t="shared" si="7"/>
        <v>561.49599999999987</v>
      </c>
      <c r="Q34" s="412"/>
      <c r="R34" s="406">
        <v>2045</v>
      </c>
      <c r="S34" s="436">
        <f t="shared" si="8"/>
        <v>28.58</v>
      </c>
      <c r="T34" s="436">
        <f t="shared" si="5"/>
        <v>28.58</v>
      </c>
      <c r="U34" s="437">
        <f t="shared" si="6"/>
        <v>28.58</v>
      </c>
    </row>
    <row r="35" spans="1:21" ht="18.75" customHeight="1">
      <c r="B35" s="406">
        <v>2046</v>
      </c>
      <c r="C35" s="407">
        <f t="shared" si="1"/>
        <v>2.3465786005362744E-2</v>
      </c>
      <c r="D35" s="408">
        <f t="shared" si="9"/>
        <v>66011</v>
      </c>
      <c r="E35" s="408">
        <f t="shared" si="2"/>
        <v>1549</v>
      </c>
      <c r="F35" s="408">
        <v>934</v>
      </c>
      <c r="G35" s="409">
        <v>19.03</v>
      </c>
      <c r="H35" s="409">
        <v>9.5500000000000007</v>
      </c>
      <c r="I35" s="409">
        <f t="shared" si="11"/>
        <v>418.65999999999985</v>
      </c>
      <c r="J35" s="409">
        <f t="shared" si="11"/>
        <v>210.10000000000008</v>
      </c>
      <c r="K35" s="410">
        <f t="shared" si="0"/>
        <v>28.58</v>
      </c>
      <c r="L35" s="411">
        <f t="shared" si="4"/>
        <v>600.17999999999995</v>
      </c>
      <c r="M35" s="412"/>
      <c r="N35" s="412"/>
      <c r="O35" s="434">
        <f t="shared" si="10"/>
        <v>28.58</v>
      </c>
      <c r="P35" s="435">
        <f t="shared" si="7"/>
        <v>590.07599999999991</v>
      </c>
      <c r="Q35" s="412"/>
      <c r="R35" s="406">
        <v>2046</v>
      </c>
      <c r="S35" s="436">
        <f t="shared" si="8"/>
        <v>28.58</v>
      </c>
      <c r="T35" s="436">
        <f t="shared" si="5"/>
        <v>28.58</v>
      </c>
      <c r="U35" s="437">
        <f t="shared" si="6"/>
        <v>28.58</v>
      </c>
    </row>
    <row r="36" spans="1:21" ht="18.75" customHeight="1">
      <c r="A36" s="440"/>
      <c r="B36" s="406">
        <v>2047</v>
      </c>
      <c r="C36" s="407">
        <f t="shared" si="1"/>
        <v>2.292776791000592E-2</v>
      </c>
      <c r="D36" s="408">
        <f t="shared" si="9"/>
        <v>67560</v>
      </c>
      <c r="E36" s="408">
        <f t="shared" si="2"/>
        <v>1549</v>
      </c>
      <c r="F36" s="408">
        <v>934</v>
      </c>
      <c r="G36" s="409">
        <v>19.03</v>
      </c>
      <c r="H36" s="409">
        <v>9.5500000000000007</v>
      </c>
      <c r="I36" s="409">
        <f t="shared" si="11"/>
        <v>437.68999999999983</v>
      </c>
      <c r="J36" s="409">
        <f t="shared" si="11"/>
        <v>219.65000000000009</v>
      </c>
      <c r="K36" s="410">
        <f t="shared" si="0"/>
        <v>28.58</v>
      </c>
      <c r="L36" s="411">
        <f t="shared" si="4"/>
        <v>628.76</v>
      </c>
      <c r="M36" s="412"/>
      <c r="N36" s="412"/>
      <c r="O36" s="434">
        <f t="shared" si="10"/>
        <v>28.58</v>
      </c>
      <c r="P36" s="435">
        <f t="shared" si="7"/>
        <v>618.65599999999995</v>
      </c>
      <c r="Q36" s="412"/>
      <c r="R36" s="406">
        <v>2047</v>
      </c>
      <c r="S36" s="436">
        <f t="shared" si="8"/>
        <v>28.58</v>
      </c>
      <c r="T36" s="436">
        <f t="shared" si="5"/>
        <v>28.58</v>
      </c>
      <c r="U36" s="437">
        <f t="shared" si="6"/>
        <v>28.58</v>
      </c>
    </row>
    <row r="37" spans="1:21" ht="18.75" customHeight="1">
      <c r="B37" s="406">
        <v>2048</v>
      </c>
      <c r="C37" s="407">
        <f t="shared" si="1"/>
        <v>2.2413867947734738E-2</v>
      </c>
      <c r="D37" s="408">
        <f t="shared" si="9"/>
        <v>69109</v>
      </c>
      <c r="E37" s="408">
        <f t="shared" si="2"/>
        <v>1549</v>
      </c>
      <c r="F37" s="408">
        <v>934</v>
      </c>
      <c r="G37" s="409">
        <v>19.03</v>
      </c>
      <c r="H37" s="409">
        <v>9.5500000000000007</v>
      </c>
      <c r="I37" s="409">
        <f t="shared" si="11"/>
        <v>456.7199999999998</v>
      </c>
      <c r="J37" s="409">
        <f t="shared" si="11"/>
        <v>229.2000000000001</v>
      </c>
      <c r="K37" s="410">
        <f t="shared" si="0"/>
        <v>28.58</v>
      </c>
      <c r="L37" s="411">
        <f t="shared" si="4"/>
        <v>657.34</v>
      </c>
      <c r="M37" s="412"/>
      <c r="N37" s="412"/>
      <c r="O37" s="434">
        <f t="shared" si="10"/>
        <v>28.58</v>
      </c>
      <c r="P37" s="435">
        <f t="shared" si="7"/>
        <v>647.23599999999999</v>
      </c>
      <c r="Q37" s="412"/>
      <c r="R37" s="406">
        <v>2048</v>
      </c>
      <c r="S37" s="436">
        <f t="shared" si="8"/>
        <v>28.58</v>
      </c>
      <c r="T37" s="436">
        <f t="shared" si="5"/>
        <v>28.58</v>
      </c>
      <c r="U37" s="437">
        <f t="shared" si="6"/>
        <v>28.58</v>
      </c>
    </row>
    <row r="38" spans="1:21" ht="18.75" customHeight="1">
      <c r="A38" s="567" t="s">
        <v>205</v>
      </c>
      <c r="B38" s="566">
        <v>2049</v>
      </c>
      <c r="C38" s="568">
        <f t="shared" si="1"/>
        <v>2.1922499929236606E-2</v>
      </c>
      <c r="D38" s="569">
        <f t="shared" si="9"/>
        <v>70658</v>
      </c>
      <c r="E38" s="569">
        <f t="shared" si="2"/>
        <v>1549</v>
      </c>
      <c r="F38" s="569">
        <v>934</v>
      </c>
      <c r="G38" s="570">
        <v>19.03</v>
      </c>
      <c r="H38" s="570">
        <v>9.5500000000000007</v>
      </c>
      <c r="I38" s="570">
        <f t="shared" si="11"/>
        <v>475.74999999999977</v>
      </c>
      <c r="J38" s="570">
        <f t="shared" si="11"/>
        <v>238.75000000000011</v>
      </c>
      <c r="K38" s="571">
        <f t="shared" si="0"/>
        <v>28.58</v>
      </c>
      <c r="L38" s="572">
        <f t="shared" si="4"/>
        <v>685.92000000000007</v>
      </c>
      <c r="M38" s="412"/>
      <c r="N38" s="412"/>
      <c r="O38" s="573">
        <f t="shared" si="10"/>
        <v>28.58</v>
      </c>
      <c r="P38" s="454">
        <f t="shared" si="7"/>
        <v>675.81600000000003</v>
      </c>
      <c r="Q38" s="412"/>
      <c r="R38" s="566">
        <v>2049</v>
      </c>
      <c r="S38" s="439">
        <f t="shared" si="8"/>
        <v>25.199424354244002</v>
      </c>
      <c r="T38" s="436">
        <f t="shared" si="5"/>
        <v>28.58</v>
      </c>
      <c r="U38" s="437">
        <f t="shared" si="6"/>
        <v>28.58</v>
      </c>
    </row>
    <row r="39" spans="1:21" ht="18.75" customHeight="1">
      <c r="B39" s="441">
        <v>2050</v>
      </c>
      <c r="C39" s="442">
        <f t="shared" si="1"/>
        <v>2.1452213774287812E-2</v>
      </c>
      <c r="D39" s="443">
        <f t="shared" si="9"/>
        <v>72207</v>
      </c>
      <c r="E39" s="443">
        <f t="shared" si="2"/>
        <v>1549</v>
      </c>
      <c r="F39" s="443">
        <v>934</v>
      </c>
      <c r="G39" s="444">
        <v>19.03</v>
      </c>
      <c r="H39" s="444">
        <v>9.5500000000000007</v>
      </c>
      <c r="I39" s="444">
        <f t="shared" si="11"/>
        <v>494.77999999999975</v>
      </c>
      <c r="J39" s="444">
        <f t="shared" si="11"/>
        <v>248.30000000000013</v>
      </c>
      <c r="K39" s="445">
        <f t="shared" si="0"/>
        <v>28.58</v>
      </c>
      <c r="L39" s="446">
        <f t="shared" si="4"/>
        <v>714.50000000000011</v>
      </c>
      <c r="M39" s="412"/>
      <c r="N39" s="412"/>
      <c r="O39" s="434">
        <f t="shared" si="10"/>
        <v>28.58</v>
      </c>
      <c r="P39" s="435">
        <f t="shared" si="7"/>
        <v>704.39600000000007</v>
      </c>
      <c r="Q39" s="412"/>
      <c r="R39" s="406">
        <v>2050</v>
      </c>
      <c r="S39" s="436">
        <f t="shared" si="8"/>
        <v>0</v>
      </c>
      <c r="T39" s="436">
        <f t="shared" si="5"/>
        <v>28.58</v>
      </c>
      <c r="U39" s="437">
        <f t="shared" si="6"/>
        <v>28.58</v>
      </c>
    </row>
    <row r="40" spans="1:21" ht="18.75" customHeight="1" thickBot="1">
      <c r="A40" s="447" t="s">
        <v>49</v>
      </c>
      <c r="B40" s="448">
        <v>2051</v>
      </c>
      <c r="C40" s="449">
        <f t="shared" si="1"/>
        <v>2.1001681219155053E-2</v>
      </c>
      <c r="D40" s="450">
        <f t="shared" si="9"/>
        <v>73756</v>
      </c>
      <c r="E40" s="450">
        <f t="shared" si="2"/>
        <v>1549</v>
      </c>
      <c r="F40" s="450">
        <v>934</v>
      </c>
      <c r="G40" s="451">
        <v>19.03</v>
      </c>
      <c r="H40" s="451">
        <v>9.5500000000000007</v>
      </c>
      <c r="I40" s="451">
        <f t="shared" si="11"/>
        <v>513.80999999999972</v>
      </c>
      <c r="J40" s="451">
        <f t="shared" si="11"/>
        <v>257.85000000000014</v>
      </c>
      <c r="K40" s="452">
        <f t="shared" si="0"/>
        <v>28.58</v>
      </c>
      <c r="L40" s="453">
        <f t="shared" si="4"/>
        <v>743.08000000000015</v>
      </c>
      <c r="M40" s="412"/>
      <c r="N40" s="412"/>
      <c r="O40" s="609">
        <f t="shared" si="10"/>
        <v>28.58</v>
      </c>
      <c r="P40" s="572">
        <f t="shared" si="7"/>
        <v>732.97600000000011</v>
      </c>
      <c r="Q40" s="412"/>
      <c r="R40" s="455">
        <v>2051</v>
      </c>
      <c r="S40" s="436">
        <f t="shared" si="8"/>
        <v>0</v>
      </c>
      <c r="T40" s="439">
        <f t="shared" si="5"/>
        <v>10.104000000000042</v>
      </c>
      <c r="U40" s="456">
        <f t="shared" si="6"/>
        <v>10.103999999999928</v>
      </c>
    </row>
    <row r="41" spans="1:21" ht="18.75" customHeight="1">
      <c r="B41" s="611">
        <v>2052</v>
      </c>
      <c r="C41" s="457">
        <f t="shared" si="1"/>
        <v>2.0569683287962288E-2</v>
      </c>
      <c r="D41" s="458">
        <f t="shared" si="9"/>
        <v>75305</v>
      </c>
      <c r="E41" s="458">
        <f t="shared" si="2"/>
        <v>1549</v>
      </c>
      <c r="F41" s="458">
        <v>934</v>
      </c>
      <c r="G41" s="459">
        <v>19.03</v>
      </c>
      <c r="H41" s="459">
        <v>9.5500000000000007</v>
      </c>
      <c r="I41" s="459">
        <f t="shared" si="11"/>
        <v>532.83999999999969</v>
      </c>
      <c r="J41" s="459">
        <f t="shared" si="11"/>
        <v>267.40000000000015</v>
      </c>
      <c r="K41" s="612">
        <f t="shared" si="0"/>
        <v>28.58</v>
      </c>
      <c r="L41" s="613">
        <f t="shared" si="4"/>
        <v>771.6600000000002</v>
      </c>
      <c r="M41" s="412"/>
      <c r="N41" s="412"/>
      <c r="O41" s="434">
        <f t="shared" si="10"/>
        <v>28.58</v>
      </c>
      <c r="P41" s="435">
        <f t="shared" si="7"/>
        <v>761.55600000000015</v>
      </c>
      <c r="Q41" s="412"/>
      <c r="R41" s="406">
        <v>2052</v>
      </c>
      <c r="S41" s="436">
        <f t="shared" ref="S41:S46" si="12">IF($S$14&gt;$P41,$O41,IF($S$14-$P40&gt;0,$S$14-$P40,0))</f>
        <v>0</v>
      </c>
      <c r="T41" s="436">
        <f t="shared" si="5"/>
        <v>0</v>
      </c>
      <c r="U41" s="437">
        <f t="shared" si="6"/>
        <v>0</v>
      </c>
    </row>
    <row r="42" spans="1:21" s="389" customFormat="1" ht="18.75" customHeight="1">
      <c r="A42" s="390"/>
      <c r="B42" s="406">
        <v>2053</v>
      </c>
      <c r="C42" s="407">
        <f t="shared" si="1"/>
        <v>2.0155099279152679E-2</v>
      </c>
      <c r="D42" s="408">
        <f t="shared" si="9"/>
        <v>76854</v>
      </c>
      <c r="E42" s="408">
        <f t="shared" si="2"/>
        <v>1549</v>
      </c>
      <c r="F42" s="408">
        <v>934</v>
      </c>
      <c r="G42" s="409">
        <v>19.03</v>
      </c>
      <c r="H42" s="409">
        <v>9.5500000000000007</v>
      </c>
      <c r="I42" s="409">
        <f t="shared" si="11"/>
        <v>551.86999999999966</v>
      </c>
      <c r="J42" s="409">
        <f t="shared" si="11"/>
        <v>276.95000000000016</v>
      </c>
      <c r="K42" s="410">
        <f t="shared" si="0"/>
        <v>28.58</v>
      </c>
      <c r="L42" s="411">
        <f t="shared" si="4"/>
        <v>800.24000000000024</v>
      </c>
      <c r="M42" s="412"/>
      <c r="N42" s="412"/>
      <c r="O42" s="434">
        <f t="shared" si="10"/>
        <v>28.58</v>
      </c>
      <c r="P42" s="435">
        <f t="shared" si="7"/>
        <v>790.13600000000019</v>
      </c>
      <c r="Q42" s="412"/>
      <c r="R42" s="406">
        <v>2053</v>
      </c>
      <c r="S42" s="436">
        <f t="shared" si="12"/>
        <v>0</v>
      </c>
      <c r="T42" s="436">
        <f t="shared" si="5"/>
        <v>0</v>
      </c>
      <c r="U42" s="437">
        <f t="shared" si="6"/>
        <v>0</v>
      </c>
    </row>
    <row r="43" spans="1:21" s="389" customFormat="1" ht="18.75" customHeight="1">
      <c r="A43" s="390"/>
      <c r="B43" s="406">
        <v>2054</v>
      </c>
      <c r="C43" s="407">
        <f t="shared" si="1"/>
        <v>1.9756897057510554E-2</v>
      </c>
      <c r="D43" s="408">
        <f t="shared" si="9"/>
        <v>78403</v>
      </c>
      <c r="E43" s="408">
        <f t="shared" si="2"/>
        <v>1549</v>
      </c>
      <c r="F43" s="408">
        <v>934</v>
      </c>
      <c r="G43" s="409">
        <v>19.03</v>
      </c>
      <c r="H43" s="409">
        <v>9.5500000000000007</v>
      </c>
      <c r="I43" s="409">
        <f t="shared" si="11"/>
        <v>570.89999999999964</v>
      </c>
      <c r="J43" s="409">
        <f t="shared" si="11"/>
        <v>286.50000000000017</v>
      </c>
      <c r="K43" s="410">
        <f t="shared" si="0"/>
        <v>28.58</v>
      </c>
      <c r="L43" s="411">
        <f t="shared" si="4"/>
        <v>828.82000000000028</v>
      </c>
      <c r="M43" s="412"/>
      <c r="N43" s="412"/>
      <c r="O43" s="434">
        <f t="shared" si="10"/>
        <v>28.58</v>
      </c>
      <c r="P43" s="435">
        <f t="shared" si="7"/>
        <v>818.71600000000024</v>
      </c>
      <c r="Q43" s="412"/>
      <c r="R43" s="406">
        <v>2054</v>
      </c>
      <c r="S43" s="436">
        <f t="shared" si="12"/>
        <v>0</v>
      </c>
      <c r="T43" s="436">
        <f t="shared" si="5"/>
        <v>0</v>
      </c>
      <c r="U43" s="437">
        <f t="shared" si="6"/>
        <v>0</v>
      </c>
    </row>
    <row r="44" spans="1:21" s="389" customFormat="1" ht="18.75" customHeight="1">
      <c r="A44" s="390"/>
      <c r="B44" s="406">
        <v>2055</v>
      </c>
      <c r="C44" s="407">
        <f t="shared" si="1"/>
        <v>1.9374124474684812E-2</v>
      </c>
      <c r="D44" s="408">
        <f t="shared" si="9"/>
        <v>79952</v>
      </c>
      <c r="E44" s="408">
        <f t="shared" si="2"/>
        <v>1549</v>
      </c>
      <c r="F44" s="408">
        <v>934</v>
      </c>
      <c r="G44" s="409">
        <v>19.03</v>
      </c>
      <c r="H44" s="409">
        <v>9.5500000000000007</v>
      </c>
      <c r="I44" s="409">
        <f t="shared" si="11"/>
        <v>589.92999999999961</v>
      </c>
      <c r="J44" s="409">
        <f t="shared" si="11"/>
        <v>296.05000000000018</v>
      </c>
      <c r="K44" s="410">
        <f t="shared" si="0"/>
        <v>28.58</v>
      </c>
      <c r="L44" s="411">
        <f t="shared" si="4"/>
        <v>857.40000000000032</v>
      </c>
      <c r="M44" s="412"/>
      <c r="N44" s="412"/>
      <c r="O44" s="434">
        <f t="shared" si="10"/>
        <v>28.58</v>
      </c>
      <c r="P44" s="435">
        <f t="shared" si="7"/>
        <v>847.29600000000028</v>
      </c>
      <c r="Q44" s="412"/>
      <c r="R44" s="406">
        <v>2055</v>
      </c>
      <c r="S44" s="436">
        <f t="shared" si="12"/>
        <v>0</v>
      </c>
      <c r="T44" s="436">
        <f t="shared" si="5"/>
        <v>0</v>
      </c>
      <c r="U44" s="437">
        <f t="shared" si="6"/>
        <v>0</v>
      </c>
    </row>
    <row r="45" spans="1:21" s="389" customFormat="1" ht="18.75" customHeight="1">
      <c r="A45" s="390"/>
      <c r="B45" s="406">
        <v>2056</v>
      </c>
      <c r="C45" s="407">
        <f t="shared" si="1"/>
        <v>1.9005901768076466E-2</v>
      </c>
      <c r="D45" s="408">
        <f t="shared" si="9"/>
        <v>81501</v>
      </c>
      <c r="E45" s="408">
        <f t="shared" si="2"/>
        <v>1549</v>
      </c>
      <c r="F45" s="408">
        <v>934</v>
      </c>
      <c r="G45" s="409">
        <v>19.03</v>
      </c>
      <c r="H45" s="409">
        <v>9.5500000000000007</v>
      </c>
      <c r="I45" s="409">
        <f t="shared" si="11"/>
        <v>608.95999999999958</v>
      </c>
      <c r="J45" s="409">
        <f t="shared" si="11"/>
        <v>305.60000000000019</v>
      </c>
      <c r="K45" s="410">
        <f t="shared" si="0"/>
        <v>28.58</v>
      </c>
      <c r="L45" s="411">
        <f t="shared" si="4"/>
        <v>885.98000000000036</v>
      </c>
      <c r="M45" s="412"/>
      <c r="N45" s="412"/>
      <c r="O45" s="434">
        <f t="shared" si="10"/>
        <v>28.58</v>
      </c>
      <c r="P45" s="435">
        <f t="shared" si="7"/>
        <v>875.87600000000032</v>
      </c>
      <c r="Q45" s="412"/>
      <c r="R45" s="406">
        <v>2056</v>
      </c>
      <c r="S45" s="436">
        <f t="shared" si="12"/>
        <v>0</v>
      </c>
      <c r="T45" s="436">
        <f t="shared" si="5"/>
        <v>0</v>
      </c>
      <c r="U45" s="437">
        <f t="shared" si="6"/>
        <v>0</v>
      </c>
    </row>
    <row r="46" spans="1:21" s="389" customFormat="1" ht="18.75" customHeight="1">
      <c r="A46" s="390"/>
      <c r="B46" s="406">
        <v>2057</v>
      </c>
      <c r="C46" s="407">
        <f t="shared" si="1"/>
        <v>1.8651414810355208E-2</v>
      </c>
      <c r="D46" s="408">
        <f t="shared" si="9"/>
        <v>83050</v>
      </c>
      <c r="E46" s="408">
        <f t="shared" si="2"/>
        <v>1549</v>
      </c>
      <c r="F46" s="408">
        <v>934</v>
      </c>
      <c r="G46" s="409">
        <v>19.03</v>
      </c>
      <c r="H46" s="409">
        <v>9.5500000000000007</v>
      </c>
      <c r="I46" s="409">
        <f t="shared" ref="I46:J61" si="13">+G46+I45</f>
        <v>627.98999999999955</v>
      </c>
      <c r="J46" s="409">
        <f t="shared" si="13"/>
        <v>315.1500000000002</v>
      </c>
      <c r="K46" s="410">
        <f t="shared" si="0"/>
        <v>28.58</v>
      </c>
      <c r="L46" s="411">
        <f t="shared" si="4"/>
        <v>914.5600000000004</v>
      </c>
      <c r="M46" s="412"/>
      <c r="N46" s="412"/>
      <c r="O46" s="434">
        <f t="shared" si="10"/>
        <v>28.58</v>
      </c>
      <c r="P46" s="435">
        <f t="shared" si="7"/>
        <v>904.45600000000036</v>
      </c>
      <c r="Q46" s="412"/>
      <c r="R46" s="406">
        <v>2057</v>
      </c>
      <c r="S46" s="436">
        <f t="shared" si="12"/>
        <v>0</v>
      </c>
      <c r="T46" s="436">
        <f t="shared" si="5"/>
        <v>0</v>
      </c>
      <c r="U46" s="437">
        <f t="shared" si="6"/>
        <v>0</v>
      </c>
    </row>
    <row r="47" spans="1:21" s="389" customFormat="1" ht="18.75" customHeight="1">
      <c r="A47" s="440"/>
      <c r="B47" s="406">
        <v>2058</v>
      </c>
      <c r="C47" s="407">
        <f t="shared" si="1"/>
        <v>1.8309909100580384E-2</v>
      </c>
      <c r="D47" s="408">
        <f t="shared" si="9"/>
        <v>84599</v>
      </c>
      <c r="E47" s="408">
        <f t="shared" si="2"/>
        <v>1549</v>
      </c>
      <c r="F47" s="408">
        <v>934</v>
      </c>
      <c r="G47" s="409">
        <v>19.03</v>
      </c>
      <c r="H47" s="409">
        <v>9.5500000000000007</v>
      </c>
      <c r="I47" s="409">
        <f t="shared" si="13"/>
        <v>647.01999999999953</v>
      </c>
      <c r="J47" s="409">
        <f t="shared" si="13"/>
        <v>324.70000000000022</v>
      </c>
      <c r="K47" s="410">
        <f t="shared" si="0"/>
        <v>28.58</v>
      </c>
      <c r="L47" s="411">
        <f t="shared" si="4"/>
        <v>943.14000000000044</v>
      </c>
      <c r="M47" s="412"/>
      <c r="N47" s="412"/>
      <c r="O47" s="434">
        <f t="shared" si="10"/>
        <v>28.58</v>
      </c>
      <c r="P47" s="435">
        <f t="shared" si="7"/>
        <v>933.0360000000004</v>
      </c>
      <c r="Q47" s="412"/>
      <c r="R47" s="406">
        <v>2058</v>
      </c>
      <c r="S47" s="436">
        <f t="shared" ref="S47:S78" si="14">IF($S$14&gt;$P47,$O47,IF($S$14-$P46&gt;0,$S$14-$P46,0))</f>
        <v>0</v>
      </c>
      <c r="T47" s="436">
        <f t="shared" ref="T47:T78" si="15">IF($T$14&gt;$P47,$O47,IF($T$14-$P46&gt;0,$T$14-$P46,0))</f>
        <v>0</v>
      </c>
      <c r="U47" s="437">
        <f t="shared" ref="U47:U78" si="16">IF($U$14&gt;$P47,$O47,IF($U$14-$P46&gt;0,$U$14-$P46,0))</f>
        <v>0</v>
      </c>
    </row>
    <row r="48" spans="1:21" s="389" customFormat="1" ht="18.75" customHeight="1">
      <c r="A48" s="390"/>
      <c r="B48" s="406">
        <v>2059</v>
      </c>
      <c r="C48" s="407">
        <f t="shared" si="1"/>
        <v>1.7980684403584531E-2</v>
      </c>
      <c r="D48" s="408">
        <f t="shared" si="9"/>
        <v>86148</v>
      </c>
      <c r="E48" s="408">
        <f t="shared" si="2"/>
        <v>1549</v>
      </c>
      <c r="F48" s="408">
        <v>934</v>
      </c>
      <c r="G48" s="409">
        <v>19.03</v>
      </c>
      <c r="H48" s="409">
        <v>9.5500000000000007</v>
      </c>
      <c r="I48" s="409">
        <f t="shared" si="13"/>
        <v>666.0499999999995</v>
      </c>
      <c r="J48" s="409">
        <f t="shared" si="13"/>
        <v>334.25000000000023</v>
      </c>
      <c r="K48" s="410">
        <f t="shared" si="0"/>
        <v>28.58</v>
      </c>
      <c r="L48" s="411">
        <f t="shared" si="4"/>
        <v>971.72000000000048</v>
      </c>
      <c r="M48" s="412"/>
      <c r="N48" s="412"/>
      <c r="O48" s="434">
        <f t="shared" si="10"/>
        <v>28.58</v>
      </c>
      <c r="P48" s="435">
        <f t="shared" ref="P48:P79" si="17">O48+P47</f>
        <v>961.61600000000044</v>
      </c>
      <c r="Q48" s="412"/>
      <c r="R48" s="406">
        <v>2059</v>
      </c>
      <c r="S48" s="436">
        <f t="shared" si="14"/>
        <v>0</v>
      </c>
      <c r="T48" s="436">
        <f t="shared" si="15"/>
        <v>0</v>
      </c>
      <c r="U48" s="437">
        <f t="shared" si="16"/>
        <v>0</v>
      </c>
    </row>
    <row r="49" spans="1:21" s="389" customFormat="1" ht="18.75" customHeight="1">
      <c r="A49" s="390"/>
      <c r="B49" s="406">
        <v>2060</v>
      </c>
      <c r="C49" s="407">
        <f t="shared" si="1"/>
        <v>1.7663089957467189E-2</v>
      </c>
      <c r="D49" s="408">
        <f t="shared" si="9"/>
        <v>87697</v>
      </c>
      <c r="E49" s="408">
        <f t="shared" si="2"/>
        <v>1549</v>
      </c>
      <c r="F49" s="408">
        <v>934</v>
      </c>
      <c r="G49" s="409">
        <v>19.03</v>
      </c>
      <c r="H49" s="409">
        <v>9.5500000000000007</v>
      </c>
      <c r="I49" s="409">
        <f t="shared" si="13"/>
        <v>685.07999999999947</v>
      </c>
      <c r="J49" s="409">
        <f t="shared" si="13"/>
        <v>343.80000000000024</v>
      </c>
      <c r="K49" s="410">
        <f t="shared" si="0"/>
        <v>28.58</v>
      </c>
      <c r="L49" s="411">
        <f t="shared" si="4"/>
        <v>1000.3000000000005</v>
      </c>
      <c r="M49" s="412"/>
      <c r="N49" s="412"/>
      <c r="O49" s="434">
        <f t="shared" si="10"/>
        <v>28.58</v>
      </c>
      <c r="P49" s="435">
        <f t="shared" si="17"/>
        <v>990.19600000000048</v>
      </c>
      <c r="Q49" s="412"/>
      <c r="R49" s="406">
        <v>2060</v>
      </c>
      <c r="S49" s="436">
        <f t="shared" si="14"/>
        <v>0</v>
      </c>
      <c r="T49" s="436">
        <f t="shared" si="15"/>
        <v>0</v>
      </c>
      <c r="U49" s="437">
        <f t="shared" si="16"/>
        <v>0</v>
      </c>
    </row>
    <row r="50" spans="1:21" s="389" customFormat="1" ht="18.75" customHeight="1">
      <c r="A50" s="390"/>
      <c r="B50" s="406">
        <v>2061</v>
      </c>
      <c r="C50" s="407">
        <f t="shared" si="1"/>
        <v>1.7356520180176142E-2</v>
      </c>
      <c r="D50" s="408">
        <f t="shared" si="9"/>
        <v>89246</v>
      </c>
      <c r="E50" s="408">
        <f t="shared" si="2"/>
        <v>1549</v>
      </c>
      <c r="F50" s="408">
        <v>934</v>
      </c>
      <c r="G50" s="409">
        <v>19.03</v>
      </c>
      <c r="H50" s="409">
        <v>9.5500000000000007</v>
      </c>
      <c r="I50" s="409">
        <f t="shared" si="13"/>
        <v>704.10999999999945</v>
      </c>
      <c r="J50" s="409">
        <f t="shared" si="13"/>
        <v>353.35000000000025</v>
      </c>
      <c r="K50" s="410">
        <f t="shared" si="0"/>
        <v>28.58</v>
      </c>
      <c r="L50" s="411">
        <f t="shared" si="4"/>
        <v>1028.8800000000006</v>
      </c>
      <c r="M50" s="412"/>
      <c r="N50" s="412"/>
      <c r="O50" s="434">
        <f t="shared" si="10"/>
        <v>28.58</v>
      </c>
      <c r="P50" s="435">
        <f t="shared" si="17"/>
        <v>1018.7760000000005</v>
      </c>
      <c r="Q50" s="412"/>
      <c r="R50" s="406">
        <v>2061</v>
      </c>
      <c r="S50" s="436">
        <f t="shared" si="14"/>
        <v>0</v>
      </c>
      <c r="T50" s="436">
        <f t="shared" si="15"/>
        <v>0</v>
      </c>
      <c r="U50" s="437">
        <f t="shared" si="16"/>
        <v>0</v>
      </c>
    </row>
    <row r="51" spans="1:21" s="389" customFormat="1" ht="18.75" customHeight="1">
      <c r="A51" s="390"/>
      <c r="B51" s="406">
        <v>2062</v>
      </c>
      <c r="C51" s="407">
        <f t="shared" si="1"/>
        <v>1.7060410815573544E-2</v>
      </c>
      <c r="D51" s="408">
        <f t="shared" si="9"/>
        <v>90795</v>
      </c>
      <c r="E51" s="408">
        <f t="shared" si="2"/>
        <v>1549</v>
      </c>
      <c r="F51" s="408">
        <v>934</v>
      </c>
      <c r="G51" s="409">
        <v>19.03</v>
      </c>
      <c r="H51" s="409">
        <v>9.5500000000000007</v>
      </c>
      <c r="I51" s="409">
        <f t="shared" si="13"/>
        <v>723.13999999999942</v>
      </c>
      <c r="J51" s="409">
        <f t="shared" si="13"/>
        <v>362.90000000000026</v>
      </c>
      <c r="K51" s="410">
        <f t="shared" si="0"/>
        <v>28.58</v>
      </c>
      <c r="L51" s="411">
        <f t="shared" si="4"/>
        <v>1057.4600000000005</v>
      </c>
      <c r="M51" s="412"/>
      <c r="N51" s="412"/>
      <c r="O51" s="434">
        <f t="shared" si="10"/>
        <v>28.58</v>
      </c>
      <c r="P51" s="435">
        <f t="shared" si="17"/>
        <v>1047.3560000000004</v>
      </c>
      <c r="Q51" s="412"/>
      <c r="R51" s="406">
        <v>2062</v>
      </c>
      <c r="S51" s="436">
        <f t="shared" si="14"/>
        <v>0</v>
      </c>
      <c r="T51" s="436">
        <f t="shared" si="15"/>
        <v>0</v>
      </c>
      <c r="U51" s="437">
        <f t="shared" si="16"/>
        <v>0</v>
      </c>
    </row>
    <row r="52" spans="1:21" s="389" customFormat="1" ht="18.75" customHeight="1">
      <c r="A52" s="390"/>
      <c r="B52" s="406">
        <v>2063</v>
      </c>
      <c r="C52" s="407">
        <f t="shared" si="1"/>
        <v>1.6774235467382829E-2</v>
      </c>
      <c r="D52" s="408">
        <f t="shared" si="9"/>
        <v>92344</v>
      </c>
      <c r="E52" s="408">
        <f t="shared" si="2"/>
        <v>1549</v>
      </c>
      <c r="F52" s="408">
        <v>934</v>
      </c>
      <c r="G52" s="409">
        <v>19.03</v>
      </c>
      <c r="H52" s="409">
        <v>9.5500000000000007</v>
      </c>
      <c r="I52" s="409">
        <f t="shared" si="13"/>
        <v>742.16999999999939</v>
      </c>
      <c r="J52" s="409">
        <f t="shared" si="13"/>
        <v>372.45000000000027</v>
      </c>
      <c r="K52" s="410">
        <f t="shared" si="0"/>
        <v>28.58</v>
      </c>
      <c r="L52" s="411">
        <f t="shared" si="4"/>
        <v>1086.0400000000004</v>
      </c>
      <c r="M52" s="412"/>
      <c r="N52" s="412"/>
      <c r="O52" s="434">
        <f t="shared" si="10"/>
        <v>28.58</v>
      </c>
      <c r="P52" s="435">
        <f t="shared" si="17"/>
        <v>1075.9360000000004</v>
      </c>
      <c r="Q52" s="412"/>
      <c r="R52" s="406">
        <v>2063</v>
      </c>
      <c r="S52" s="436">
        <f t="shared" si="14"/>
        <v>0</v>
      </c>
      <c r="T52" s="436">
        <f t="shared" si="15"/>
        <v>0</v>
      </c>
      <c r="U52" s="437">
        <f t="shared" si="16"/>
        <v>0</v>
      </c>
    </row>
    <row r="53" spans="1:21" s="389" customFormat="1" ht="18.75" customHeight="1">
      <c r="A53" s="390"/>
      <c r="B53" s="406">
        <v>2064</v>
      </c>
      <c r="C53" s="407">
        <f t="shared" si="1"/>
        <v>1.6497502476222933E-2</v>
      </c>
      <c r="D53" s="408">
        <f t="shared" si="9"/>
        <v>93893</v>
      </c>
      <c r="E53" s="408">
        <f t="shared" si="2"/>
        <v>1549</v>
      </c>
      <c r="F53" s="408">
        <v>934</v>
      </c>
      <c r="G53" s="409">
        <v>19.03</v>
      </c>
      <c r="H53" s="409">
        <v>9.5500000000000007</v>
      </c>
      <c r="I53" s="409">
        <f t="shared" si="13"/>
        <v>761.19999999999936</v>
      </c>
      <c r="J53" s="409">
        <f t="shared" si="13"/>
        <v>382.00000000000028</v>
      </c>
      <c r="K53" s="410">
        <f t="shared" si="0"/>
        <v>28.58</v>
      </c>
      <c r="L53" s="411">
        <f t="shared" si="4"/>
        <v>1114.6200000000003</v>
      </c>
      <c r="M53" s="412"/>
      <c r="N53" s="412"/>
      <c r="O53" s="434">
        <f t="shared" si="10"/>
        <v>28.58</v>
      </c>
      <c r="P53" s="435">
        <f t="shared" si="17"/>
        <v>1104.5160000000003</v>
      </c>
      <c r="Q53" s="412"/>
      <c r="R53" s="406">
        <v>2064</v>
      </c>
      <c r="S53" s="436">
        <f t="shared" si="14"/>
        <v>0</v>
      </c>
      <c r="T53" s="436">
        <f t="shared" si="15"/>
        <v>0</v>
      </c>
      <c r="U53" s="437">
        <f t="shared" si="16"/>
        <v>0</v>
      </c>
    </row>
    <row r="54" spans="1:21" s="389" customFormat="1" ht="18.75" customHeight="1">
      <c r="A54" s="390"/>
      <c r="B54" s="406">
        <v>2065</v>
      </c>
      <c r="C54" s="407">
        <f t="shared" si="1"/>
        <v>1.6229752100752289E-2</v>
      </c>
      <c r="D54" s="408">
        <f t="shared" si="9"/>
        <v>95442</v>
      </c>
      <c r="E54" s="408">
        <f t="shared" si="2"/>
        <v>1549</v>
      </c>
      <c r="F54" s="408">
        <v>934</v>
      </c>
      <c r="G54" s="409">
        <v>19.03</v>
      </c>
      <c r="H54" s="409">
        <v>9.5500000000000007</v>
      </c>
      <c r="I54" s="409">
        <f t="shared" si="13"/>
        <v>780.22999999999934</v>
      </c>
      <c r="J54" s="409">
        <f t="shared" si="13"/>
        <v>391.5500000000003</v>
      </c>
      <c r="K54" s="410">
        <f t="shared" si="0"/>
        <v>28.58</v>
      </c>
      <c r="L54" s="411">
        <f t="shared" si="4"/>
        <v>1143.2000000000003</v>
      </c>
      <c r="M54" s="412"/>
      <c r="N54" s="412"/>
      <c r="O54" s="434">
        <f t="shared" si="10"/>
        <v>28.58</v>
      </c>
      <c r="P54" s="435">
        <f t="shared" si="17"/>
        <v>1133.0960000000002</v>
      </c>
      <c r="Q54" s="412"/>
      <c r="R54" s="406">
        <v>2065</v>
      </c>
      <c r="S54" s="436">
        <f t="shared" si="14"/>
        <v>0</v>
      </c>
      <c r="T54" s="436">
        <f t="shared" si="15"/>
        <v>0</v>
      </c>
      <c r="U54" s="437">
        <f t="shared" si="16"/>
        <v>0</v>
      </c>
    </row>
    <row r="55" spans="1:21" s="389" customFormat="1" ht="18.75" customHeight="1">
      <c r="A55" s="390"/>
      <c r="B55" s="406">
        <v>2066</v>
      </c>
      <c r="C55" s="407">
        <f t="shared" si="1"/>
        <v>1.5970553968924953E-2</v>
      </c>
      <c r="D55" s="408">
        <f t="shared" si="9"/>
        <v>96991</v>
      </c>
      <c r="E55" s="408">
        <f t="shared" si="2"/>
        <v>1549</v>
      </c>
      <c r="F55" s="408">
        <v>934</v>
      </c>
      <c r="G55" s="409">
        <v>19.03</v>
      </c>
      <c r="H55" s="409">
        <v>9.5500000000000007</v>
      </c>
      <c r="I55" s="409">
        <f t="shared" si="13"/>
        <v>799.25999999999931</v>
      </c>
      <c r="J55" s="409">
        <f t="shared" si="13"/>
        <v>401.10000000000031</v>
      </c>
      <c r="K55" s="410">
        <f t="shared" si="0"/>
        <v>28.58</v>
      </c>
      <c r="L55" s="411">
        <f t="shared" si="4"/>
        <v>1171.7800000000002</v>
      </c>
      <c r="M55" s="412"/>
      <c r="N55" s="412"/>
      <c r="O55" s="434">
        <f t="shared" si="10"/>
        <v>28.58</v>
      </c>
      <c r="P55" s="435">
        <f t="shared" si="17"/>
        <v>1161.6760000000002</v>
      </c>
      <c r="Q55" s="412"/>
      <c r="R55" s="406">
        <v>2066</v>
      </c>
      <c r="S55" s="436">
        <f t="shared" si="14"/>
        <v>0</v>
      </c>
      <c r="T55" s="436">
        <f t="shared" si="15"/>
        <v>0</v>
      </c>
      <c r="U55" s="437">
        <f t="shared" si="16"/>
        <v>0</v>
      </c>
    </row>
    <row r="56" spans="1:21" s="389" customFormat="1" ht="18.75" customHeight="1">
      <c r="A56" s="390"/>
      <c r="B56" s="406">
        <v>2067</v>
      </c>
      <c r="C56" s="407">
        <f t="shared" si="1"/>
        <v>1.5719504769636697E-2</v>
      </c>
      <c r="D56" s="408">
        <f t="shared" si="9"/>
        <v>98540</v>
      </c>
      <c r="E56" s="408">
        <f t="shared" si="2"/>
        <v>1549</v>
      </c>
      <c r="F56" s="408">
        <v>934</v>
      </c>
      <c r="G56" s="409">
        <v>19.03</v>
      </c>
      <c r="H56" s="409">
        <v>9.5500000000000007</v>
      </c>
      <c r="I56" s="409">
        <f t="shared" si="13"/>
        <v>818.28999999999928</v>
      </c>
      <c r="J56" s="409">
        <f t="shared" si="13"/>
        <v>410.65000000000032</v>
      </c>
      <c r="K56" s="410">
        <f t="shared" si="0"/>
        <v>28.58</v>
      </c>
      <c r="L56" s="411">
        <f t="shared" si="4"/>
        <v>1200.3600000000001</v>
      </c>
      <c r="M56" s="412"/>
      <c r="N56" s="412"/>
      <c r="O56" s="434">
        <f t="shared" si="10"/>
        <v>28.58</v>
      </c>
      <c r="P56" s="435">
        <f t="shared" si="17"/>
        <v>1190.2560000000001</v>
      </c>
      <c r="Q56" s="412"/>
      <c r="R56" s="406">
        <v>2067</v>
      </c>
      <c r="S56" s="436">
        <f t="shared" si="14"/>
        <v>0</v>
      </c>
      <c r="T56" s="436">
        <f t="shared" si="15"/>
        <v>0</v>
      </c>
      <c r="U56" s="437">
        <f t="shared" si="16"/>
        <v>0</v>
      </c>
    </row>
    <row r="57" spans="1:21" s="389" customFormat="1" ht="18.75" customHeight="1">
      <c r="A57" s="390"/>
      <c r="B57" s="406">
        <v>2068</v>
      </c>
      <c r="C57" s="407">
        <f t="shared" si="1"/>
        <v>1.547622615871874E-2</v>
      </c>
      <c r="D57" s="408">
        <f t="shared" si="9"/>
        <v>100089</v>
      </c>
      <c r="E57" s="408">
        <f t="shared" si="2"/>
        <v>1549</v>
      </c>
      <c r="F57" s="408">
        <v>934</v>
      </c>
      <c r="G57" s="409">
        <v>19.03</v>
      </c>
      <c r="H57" s="409">
        <v>9.5500000000000007</v>
      </c>
      <c r="I57" s="409">
        <f t="shared" si="13"/>
        <v>837.31999999999925</v>
      </c>
      <c r="J57" s="409">
        <f t="shared" si="13"/>
        <v>420.20000000000033</v>
      </c>
      <c r="K57" s="410">
        <f t="shared" si="0"/>
        <v>28.58</v>
      </c>
      <c r="L57" s="411">
        <f t="shared" si="4"/>
        <v>1228.94</v>
      </c>
      <c r="M57" s="412"/>
      <c r="N57" s="412"/>
      <c r="O57" s="434">
        <f t="shared" si="10"/>
        <v>28.58</v>
      </c>
      <c r="P57" s="435">
        <f t="shared" si="17"/>
        <v>1218.836</v>
      </c>
      <c r="Q57" s="412"/>
      <c r="R57" s="406">
        <v>2068</v>
      </c>
      <c r="S57" s="436">
        <f t="shared" si="14"/>
        <v>0</v>
      </c>
      <c r="T57" s="436">
        <f t="shared" si="15"/>
        <v>0</v>
      </c>
      <c r="U57" s="437">
        <f t="shared" si="16"/>
        <v>0</v>
      </c>
    </row>
    <row r="58" spans="1:21" ht="18.75" customHeight="1">
      <c r="B58" s="406">
        <v>2069</v>
      </c>
      <c r="C58" s="407">
        <f t="shared" si="1"/>
        <v>1.5240362856411971E-2</v>
      </c>
      <c r="D58" s="408">
        <f t="shared" si="9"/>
        <v>101638</v>
      </c>
      <c r="E58" s="408">
        <f t="shared" si="2"/>
        <v>1549</v>
      </c>
      <c r="F58" s="408">
        <v>934</v>
      </c>
      <c r="G58" s="409">
        <v>19.03</v>
      </c>
      <c r="H58" s="409">
        <v>9.5500000000000007</v>
      </c>
      <c r="I58" s="409">
        <f t="shared" si="13"/>
        <v>856.34999999999923</v>
      </c>
      <c r="J58" s="409">
        <f t="shared" si="13"/>
        <v>429.75000000000034</v>
      </c>
      <c r="K58" s="410">
        <f t="shared" si="0"/>
        <v>28.58</v>
      </c>
      <c r="L58" s="411">
        <f t="shared" si="4"/>
        <v>1257.52</v>
      </c>
      <c r="M58" s="412"/>
      <c r="N58" s="412"/>
      <c r="O58" s="434">
        <f t="shared" si="10"/>
        <v>28.58</v>
      </c>
      <c r="P58" s="435">
        <f t="shared" si="17"/>
        <v>1247.4159999999999</v>
      </c>
      <c r="Q58" s="412"/>
      <c r="R58" s="406">
        <v>2069</v>
      </c>
      <c r="S58" s="436">
        <f t="shared" si="14"/>
        <v>0</v>
      </c>
      <c r="T58" s="436">
        <f t="shared" si="15"/>
        <v>0</v>
      </c>
      <c r="U58" s="437">
        <f t="shared" si="16"/>
        <v>0</v>
      </c>
    </row>
    <row r="59" spans="1:21" ht="18.75" customHeight="1">
      <c r="B59" s="406">
        <v>2070</v>
      </c>
      <c r="C59" s="407">
        <f t="shared" si="1"/>
        <v>1.5011580916200685E-2</v>
      </c>
      <c r="D59" s="408">
        <f t="shared" si="9"/>
        <v>103187</v>
      </c>
      <c r="E59" s="408">
        <f t="shared" si="2"/>
        <v>1549</v>
      </c>
      <c r="F59" s="408">
        <v>934</v>
      </c>
      <c r="G59" s="409">
        <v>19.03</v>
      </c>
      <c r="H59" s="409">
        <v>9.5500000000000007</v>
      </c>
      <c r="I59" s="409">
        <f t="shared" si="13"/>
        <v>875.3799999999992</v>
      </c>
      <c r="J59" s="409">
        <f t="shared" si="13"/>
        <v>439.30000000000035</v>
      </c>
      <c r="K59" s="410">
        <f t="shared" si="0"/>
        <v>28.58</v>
      </c>
      <c r="L59" s="411">
        <f t="shared" si="4"/>
        <v>1286.0999999999999</v>
      </c>
      <c r="M59" s="412"/>
      <c r="N59" s="412"/>
      <c r="O59" s="434">
        <f t="shared" si="10"/>
        <v>28.58</v>
      </c>
      <c r="P59" s="435">
        <f t="shared" si="17"/>
        <v>1275.9959999999999</v>
      </c>
      <c r="Q59" s="412"/>
      <c r="R59" s="406">
        <v>2070</v>
      </c>
      <c r="S59" s="436">
        <f t="shared" si="14"/>
        <v>0</v>
      </c>
      <c r="T59" s="436">
        <f t="shared" si="15"/>
        <v>0</v>
      </c>
      <c r="U59" s="437">
        <f t="shared" si="16"/>
        <v>0</v>
      </c>
    </row>
    <row r="60" spans="1:21" ht="18.75" customHeight="1">
      <c r="B60" s="406">
        <v>2071</v>
      </c>
      <c r="C60" s="407">
        <f t="shared" si="1"/>
        <v>1.4789566147265506E-2</v>
      </c>
      <c r="D60" s="408">
        <f t="shared" si="9"/>
        <v>104736</v>
      </c>
      <c r="E60" s="408">
        <f t="shared" si="2"/>
        <v>1549</v>
      </c>
      <c r="F60" s="408">
        <v>934</v>
      </c>
      <c r="G60" s="409">
        <v>19.03</v>
      </c>
      <c r="H60" s="409">
        <v>9.5500000000000007</v>
      </c>
      <c r="I60" s="409">
        <f t="shared" si="13"/>
        <v>894.40999999999917</v>
      </c>
      <c r="J60" s="409">
        <f t="shared" si="13"/>
        <v>448.85000000000036</v>
      </c>
      <c r="K60" s="410">
        <f t="shared" si="0"/>
        <v>28.58</v>
      </c>
      <c r="L60" s="411">
        <f t="shared" si="4"/>
        <v>1314.6799999999998</v>
      </c>
      <c r="M60" s="412"/>
      <c r="N60" s="412"/>
      <c r="O60" s="434">
        <f t="shared" si="10"/>
        <v>28.58</v>
      </c>
      <c r="P60" s="435">
        <f t="shared" si="17"/>
        <v>1304.5759999999998</v>
      </c>
      <c r="Q60" s="412"/>
      <c r="R60" s="406">
        <v>2071</v>
      </c>
      <c r="S60" s="436">
        <f t="shared" si="14"/>
        <v>0</v>
      </c>
      <c r="T60" s="436">
        <f t="shared" si="15"/>
        <v>0</v>
      </c>
      <c r="U60" s="437">
        <f t="shared" si="16"/>
        <v>0</v>
      </c>
    </row>
    <row r="61" spans="1:21" ht="18.75" customHeight="1">
      <c r="B61" s="406">
        <v>2072</v>
      </c>
      <c r="C61" s="407">
        <f t="shared" si="1"/>
        <v>1.4574022674883568E-2</v>
      </c>
      <c r="D61" s="408">
        <f t="shared" si="9"/>
        <v>106285</v>
      </c>
      <c r="E61" s="408">
        <f t="shared" si="2"/>
        <v>1549</v>
      </c>
      <c r="F61" s="408">
        <v>934</v>
      </c>
      <c r="G61" s="409">
        <v>19.03</v>
      </c>
      <c r="H61" s="409">
        <v>9.5500000000000007</v>
      </c>
      <c r="I61" s="409">
        <f t="shared" si="13"/>
        <v>913.43999999999915</v>
      </c>
      <c r="J61" s="409">
        <f t="shared" si="13"/>
        <v>458.40000000000038</v>
      </c>
      <c r="K61" s="410">
        <f t="shared" si="0"/>
        <v>28.58</v>
      </c>
      <c r="L61" s="411">
        <f t="shared" si="4"/>
        <v>1343.2599999999998</v>
      </c>
      <c r="M61" s="412"/>
      <c r="N61" s="412"/>
      <c r="O61" s="434">
        <f t="shared" si="10"/>
        <v>28.58</v>
      </c>
      <c r="P61" s="435">
        <f t="shared" si="17"/>
        <v>1333.1559999999997</v>
      </c>
      <c r="Q61" s="412"/>
      <c r="R61" s="406">
        <v>2072</v>
      </c>
      <c r="S61" s="436">
        <f t="shared" si="14"/>
        <v>0</v>
      </c>
      <c r="T61" s="436">
        <f t="shared" si="15"/>
        <v>0</v>
      </c>
      <c r="U61" s="437">
        <f t="shared" si="16"/>
        <v>0</v>
      </c>
    </row>
    <row r="62" spans="1:21" ht="18.75" customHeight="1">
      <c r="B62" s="406">
        <v>2073</v>
      </c>
      <c r="C62" s="407">
        <f t="shared" si="1"/>
        <v>1.4364671624904946E-2</v>
      </c>
      <c r="D62" s="408">
        <f t="shared" si="9"/>
        <v>107834</v>
      </c>
      <c r="E62" s="408">
        <f t="shared" si="2"/>
        <v>1549</v>
      </c>
      <c r="F62" s="408">
        <v>934</v>
      </c>
      <c r="G62" s="409">
        <v>19.03</v>
      </c>
      <c r="H62" s="409">
        <v>9.5500000000000007</v>
      </c>
      <c r="I62" s="409">
        <f t="shared" ref="I62:J77" si="18">+G62+I61</f>
        <v>932.46999999999912</v>
      </c>
      <c r="J62" s="409">
        <f t="shared" si="18"/>
        <v>467.95000000000039</v>
      </c>
      <c r="K62" s="410">
        <f t="shared" si="0"/>
        <v>28.58</v>
      </c>
      <c r="L62" s="411">
        <f t="shared" si="4"/>
        <v>1371.8399999999997</v>
      </c>
      <c r="M62" s="412"/>
      <c r="N62" s="412"/>
      <c r="O62" s="434">
        <f t="shared" si="10"/>
        <v>28.58</v>
      </c>
      <c r="P62" s="435">
        <f t="shared" si="17"/>
        <v>1361.7359999999996</v>
      </c>
      <c r="Q62" s="412"/>
      <c r="R62" s="406">
        <v>2073</v>
      </c>
      <c r="S62" s="436">
        <f t="shared" si="14"/>
        <v>0</v>
      </c>
      <c r="T62" s="436">
        <f t="shared" si="15"/>
        <v>0</v>
      </c>
      <c r="U62" s="437">
        <f t="shared" si="16"/>
        <v>0</v>
      </c>
    </row>
    <row r="63" spans="1:21" ht="18.75" customHeight="1">
      <c r="B63" s="406">
        <v>2074</v>
      </c>
      <c r="C63" s="407">
        <f t="shared" si="1"/>
        <v>1.4161249920005852E-2</v>
      </c>
      <c r="D63" s="408">
        <f t="shared" si="9"/>
        <v>109383</v>
      </c>
      <c r="E63" s="408">
        <f t="shared" si="2"/>
        <v>1549</v>
      </c>
      <c r="F63" s="408">
        <v>934</v>
      </c>
      <c r="G63" s="409">
        <v>19.03</v>
      </c>
      <c r="H63" s="409">
        <v>9.5500000000000007</v>
      </c>
      <c r="I63" s="409">
        <f t="shared" si="18"/>
        <v>951.49999999999909</v>
      </c>
      <c r="J63" s="409">
        <f t="shared" si="18"/>
        <v>477.5000000000004</v>
      </c>
      <c r="K63" s="410">
        <f t="shared" si="0"/>
        <v>28.58</v>
      </c>
      <c r="L63" s="411">
        <f t="shared" si="4"/>
        <v>1400.4199999999996</v>
      </c>
      <c r="M63" s="412"/>
      <c r="N63" s="412"/>
      <c r="O63" s="434">
        <f t="shared" si="10"/>
        <v>28.58</v>
      </c>
      <c r="P63" s="435">
        <f t="shared" si="17"/>
        <v>1390.3159999999996</v>
      </c>
      <c r="Q63" s="412"/>
      <c r="R63" s="406">
        <v>2074</v>
      </c>
      <c r="S63" s="436">
        <f t="shared" si="14"/>
        <v>0</v>
      </c>
      <c r="T63" s="436">
        <f t="shared" si="15"/>
        <v>0</v>
      </c>
      <c r="U63" s="437">
        <f t="shared" si="16"/>
        <v>0</v>
      </c>
    </row>
    <row r="64" spans="1:21" ht="18.75" customHeight="1">
      <c r="B64" s="406">
        <v>2075</v>
      </c>
      <c r="C64" s="407">
        <f t="shared" si="1"/>
        <v>1.3963509176792991E-2</v>
      </c>
      <c r="D64" s="408">
        <f t="shared" si="9"/>
        <v>110932</v>
      </c>
      <c r="E64" s="408">
        <f t="shared" si="2"/>
        <v>1549</v>
      </c>
      <c r="F64" s="408">
        <v>934</v>
      </c>
      <c r="G64" s="409">
        <v>19.03</v>
      </c>
      <c r="H64" s="409">
        <v>9.5500000000000007</v>
      </c>
      <c r="I64" s="409">
        <f t="shared" si="18"/>
        <v>970.52999999999906</v>
      </c>
      <c r="J64" s="409">
        <f t="shared" si="18"/>
        <v>487.05000000000041</v>
      </c>
      <c r="K64" s="410">
        <f t="shared" si="0"/>
        <v>28.58</v>
      </c>
      <c r="L64" s="411">
        <f t="shared" si="4"/>
        <v>1428.9999999999995</v>
      </c>
      <c r="M64" s="412"/>
      <c r="N64" s="412"/>
      <c r="O64" s="434">
        <f t="shared" si="10"/>
        <v>28.58</v>
      </c>
      <c r="P64" s="435">
        <f t="shared" si="17"/>
        <v>1418.8959999999995</v>
      </c>
      <c r="Q64" s="412"/>
      <c r="R64" s="406">
        <v>2075</v>
      </c>
      <c r="S64" s="436">
        <f t="shared" si="14"/>
        <v>0</v>
      </c>
      <c r="T64" s="436">
        <f t="shared" si="15"/>
        <v>0</v>
      </c>
      <c r="U64" s="437">
        <f t="shared" si="16"/>
        <v>0</v>
      </c>
    </row>
    <row r="65" spans="1:21" ht="18.75" customHeight="1">
      <c r="B65" s="406">
        <v>2076</v>
      </c>
      <c r="C65" s="407">
        <f t="shared" si="1"/>
        <v>1.3771214694037215E-2</v>
      </c>
      <c r="D65" s="408">
        <f t="shared" si="9"/>
        <v>112481</v>
      </c>
      <c r="E65" s="408">
        <f t="shared" si="2"/>
        <v>1549</v>
      </c>
      <c r="F65" s="408">
        <v>934</v>
      </c>
      <c r="G65" s="409">
        <v>19.03</v>
      </c>
      <c r="H65" s="409">
        <v>9.5500000000000007</v>
      </c>
      <c r="I65" s="409">
        <f t="shared" si="18"/>
        <v>989.55999999999904</v>
      </c>
      <c r="J65" s="409">
        <f t="shared" si="18"/>
        <v>496.60000000000042</v>
      </c>
      <c r="K65" s="410">
        <f t="shared" si="0"/>
        <v>28.58</v>
      </c>
      <c r="L65" s="411">
        <f t="shared" si="4"/>
        <v>1457.5799999999995</v>
      </c>
      <c r="M65" s="412"/>
      <c r="N65" s="412"/>
      <c r="O65" s="434">
        <f t="shared" si="10"/>
        <v>28.58</v>
      </c>
      <c r="P65" s="435">
        <f t="shared" si="17"/>
        <v>1447.4759999999994</v>
      </c>
      <c r="Q65" s="412"/>
      <c r="R65" s="406">
        <v>2076</v>
      </c>
      <c r="S65" s="436">
        <f t="shared" si="14"/>
        <v>0</v>
      </c>
      <c r="T65" s="436">
        <f t="shared" si="15"/>
        <v>0</v>
      </c>
      <c r="U65" s="437">
        <f t="shared" si="16"/>
        <v>0</v>
      </c>
    </row>
    <row r="66" spans="1:21" ht="18.75" customHeight="1">
      <c r="B66" s="406">
        <v>2077</v>
      </c>
      <c r="C66" s="407">
        <f t="shared" si="1"/>
        <v>1.3584144523371042E-2</v>
      </c>
      <c r="D66" s="408">
        <f t="shared" si="9"/>
        <v>114030</v>
      </c>
      <c r="E66" s="408">
        <f t="shared" si="2"/>
        <v>1549</v>
      </c>
      <c r="F66" s="408">
        <v>934</v>
      </c>
      <c r="G66" s="409">
        <v>19.03</v>
      </c>
      <c r="H66" s="409">
        <v>9.5500000000000007</v>
      </c>
      <c r="I66" s="409">
        <f t="shared" si="18"/>
        <v>1008.589999999999</v>
      </c>
      <c r="J66" s="409">
        <f t="shared" si="18"/>
        <v>506.15000000000043</v>
      </c>
      <c r="K66" s="410">
        <f t="shared" si="0"/>
        <v>28.58</v>
      </c>
      <c r="L66" s="411">
        <f t="shared" si="4"/>
        <v>1486.1599999999994</v>
      </c>
      <c r="M66" s="412"/>
      <c r="N66" s="412"/>
      <c r="O66" s="434">
        <f t="shared" si="10"/>
        <v>28.58</v>
      </c>
      <c r="P66" s="435">
        <f t="shared" si="17"/>
        <v>1476.0559999999994</v>
      </c>
      <c r="Q66" s="412"/>
      <c r="R66" s="406">
        <v>2077</v>
      </c>
      <c r="S66" s="436">
        <f t="shared" si="14"/>
        <v>0</v>
      </c>
      <c r="T66" s="436">
        <f t="shared" si="15"/>
        <v>0</v>
      </c>
      <c r="U66" s="437">
        <f t="shared" si="16"/>
        <v>0</v>
      </c>
    </row>
    <row r="67" spans="1:21" ht="18.75" customHeight="1">
      <c r="B67" s="406">
        <v>2078</v>
      </c>
      <c r="C67" s="407">
        <f t="shared" si="1"/>
        <v>1.3402088614713746E-2</v>
      </c>
      <c r="D67" s="408">
        <f t="shared" si="9"/>
        <v>115579</v>
      </c>
      <c r="E67" s="408">
        <f t="shared" si="2"/>
        <v>1549</v>
      </c>
      <c r="F67" s="408">
        <v>934</v>
      </c>
      <c r="G67" s="409">
        <v>19.03</v>
      </c>
      <c r="H67" s="409">
        <v>9.5500000000000007</v>
      </c>
      <c r="I67" s="409">
        <f t="shared" si="18"/>
        <v>1027.619999999999</v>
      </c>
      <c r="J67" s="409">
        <f t="shared" si="18"/>
        <v>515.70000000000039</v>
      </c>
      <c r="K67" s="410">
        <f t="shared" si="0"/>
        <v>28.58</v>
      </c>
      <c r="L67" s="411">
        <f t="shared" si="4"/>
        <v>1514.7399999999993</v>
      </c>
      <c r="M67" s="412"/>
      <c r="N67" s="412"/>
      <c r="O67" s="434">
        <f t="shared" si="10"/>
        <v>28.58</v>
      </c>
      <c r="P67" s="435">
        <f t="shared" si="17"/>
        <v>1504.6359999999993</v>
      </c>
      <c r="Q67" s="412"/>
      <c r="R67" s="406">
        <v>2078</v>
      </c>
      <c r="S67" s="436">
        <f t="shared" si="14"/>
        <v>0</v>
      </c>
      <c r="T67" s="436">
        <f t="shared" si="15"/>
        <v>0</v>
      </c>
      <c r="U67" s="437">
        <f t="shared" si="16"/>
        <v>0</v>
      </c>
    </row>
    <row r="68" spans="1:21" ht="18.75" customHeight="1">
      <c r="B68" s="406">
        <v>2079</v>
      </c>
      <c r="C68" s="407">
        <f t="shared" si="1"/>
        <v>1.3224848029506181E-2</v>
      </c>
      <c r="D68" s="408">
        <f t="shared" si="9"/>
        <v>117128</v>
      </c>
      <c r="E68" s="408">
        <f t="shared" si="2"/>
        <v>1549</v>
      </c>
      <c r="F68" s="408">
        <v>934</v>
      </c>
      <c r="G68" s="409">
        <v>19.03</v>
      </c>
      <c r="H68" s="409">
        <v>9.5500000000000007</v>
      </c>
      <c r="I68" s="409">
        <f t="shared" si="18"/>
        <v>1046.649999999999</v>
      </c>
      <c r="J68" s="409">
        <f t="shared" si="18"/>
        <v>525.25000000000034</v>
      </c>
      <c r="K68" s="410">
        <f t="shared" si="0"/>
        <v>28.58</v>
      </c>
      <c r="L68" s="411">
        <f t="shared" si="4"/>
        <v>1543.3199999999993</v>
      </c>
      <c r="M68" s="412"/>
      <c r="N68" s="412"/>
      <c r="O68" s="434">
        <f t="shared" si="10"/>
        <v>28.58</v>
      </c>
      <c r="P68" s="435">
        <f t="shared" si="17"/>
        <v>1533.2159999999992</v>
      </c>
      <c r="Q68" s="412"/>
      <c r="R68" s="406">
        <v>2079</v>
      </c>
      <c r="S68" s="436">
        <f t="shared" si="14"/>
        <v>0</v>
      </c>
      <c r="T68" s="436">
        <f t="shared" si="15"/>
        <v>0</v>
      </c>
      <c r="U68" s="437">
        <f t="shared" si="16"/>
        <v>0</v>
      </c>
    </row>
    <row r="69" spans="1:21" s="389" customFormat="1" ht="18.75" customHeight="1">
      <c r="A69" s="390"/>
      <c r="B69" s="406">
        <v>2080</v>
      </c>
      <c r="C69" s="407">
        <f t="shared" si="1"/>
        <v>1.3052234215559882E-2</v>
      </c>
      <c r="D69" s="408">
        <f t="shared" si="9"/>
        <v>118677</v>
      </c>
      <c r="E69" s="408">
        <f t="shared" si="2"/>
        <v>1549</v>
      </c>
      <c r="F69" s="408">
        <v>934</v>
      </c>
      <c r="G69" s="409">
        <v>19.03</v>
      </c>
      <c r="H69" s="409">
        <v>9.5500000000000007</v>
      </c>
      <c r="I69" s="409">
        <f t="shared" si="18"/>
        <v>1065.6799999999989</v>
      </c>
      <c r="J69" s="409">
        <f t="shared" si="18"/>
        <v>534.8000000000003</v>
      </c>
      <c r="K69" s="410">
        <f t="shared" si="0"/>
        <v>28.58</v>
      </c>
      <c r="L69" s="411">
        <f t="shared" si="4"/>
        <v>1571.8999999999992</v>
      </c>
      <c r="M69" s="412"/>
      <c r="N69" s="412"/>
      <c r="O69" s="434">
        <f t="shared" si="10"/>
        <v>28.58</v>
      </c>
      <c r="P69" s="435">
        <f t="shared" si="17"/>
        <v>1561.7959999999991</v>
      </c>
      <c r="Q69" s="412"/>
      <c r="R69" s="406">
        <v>2080</v>
      </c>
      <c r="S69" s="436">
        <f t="shared" si="14"/>
        <v>0</v>
      </c>
      <c r="T69" s="436">
        <f t="shared" si="15"/>
        <v>0</v>
      </c>
      <c r="U69" s="437">
        <f t="shared" si="16"/>
        <v>0</v>
      </c>
    </row>
    <row r="70" spans="1:21" s="389" customFormat="1" ht="18.75" customHeight="1">
      <c r="A70" s="390"/>
      <c r="B70" s="406">
        <v>2081</v>
      </c>
      <c r="C70" s="407">
        <f t="shared" si="1"/>
        <v>1.2884068337963503E-2</v>
      </c>
      <c r="D70" s="408">
        <f t="shared" si="9"/>
        <v>120226</v>
      </c>
      <c r="E70" s="408">
        <f t="shared" si="2"/>
        <v>1549</v>
      </c>
      <c r="F70" s="408">
        <v>934</v>
      </c>
      <c r="G70" s="409">
        <v>19.03</v>
      </c>
      <c r="H70" s="409">
        <v>9.5500000000000007</v>
      </c>
      <c r="I70" s="409">
        <f t="shared" si="18"/>
        <v>1084.7099999999989</v>
      </c>
      <c r="J70" s="409">
        <f t="shared" si="18"/>
        <v>544.35000000000025</v>
      </c>
      <c r="K70" s="410">
        <f t="shared" si="0"/>
        <v>28.58</v>
      </c>
      <c r="L70" s="411">
        <f t="shared" si="4"/>
        <v>1600.4799999999991</v>
      </c>
      <c r="M70" s="412"/>
      <c r="N70" s="412"/>
      <c r="O70" s="434">
        <f t="shared" si="10"/>
        <v>28.58</v>
      </c>
      <c r="P70" s="435">
        <f t="shared" si="17"/>
        <v>1590.3759999999991</v>
      </c>
      <c r="Q70" s="412"/>
      <c r="R70" s="406">
        <v>2081</v>
      </c>
      <c r="S70" s="436">
        <f t="shared" si="14"/>
        <v>0</v>
      </c>
      <c r="T70" s="436">
        <f t="shared" si="15"/>
        <v>0</v>
      </c>
      <c r="U70" s="437">
        <f t="shared" si="16"/>
        <v>0</v>
      </c>
    </row>
    <row r="71" spans="1:21" s="389" customFormat="1" ht="18.75" customHeight="1">
      <c r="A71" s="390"/>
      <c r="B71" s="406">
        <v>2082</v>
      </c>
      <c r="C71" s="407">
        <f t="shared" si="1"/>
        <v>1.2720180661055226E-2</v>
      </c>
      <c r="D71" s="408">
        <f t="shared" si="9"/>
        <v>121775</v>
      </c>
      <c r="E71" s="408">
        <f t="shared" si="2"/>
        <v>1549</v>
      </c>
      <c r="F71" s="408">
        <v>934</v>
      </c>
      <c r="G71" s="409">
        <v>19.03</v>
      </c>
      <c r="H71" s="409">
        <v>9.5500000000000007</v>
      </c>
      <c r="I71" s="409">
        <f t="shared" si="18"/>
        <v>1103.7399999999989</v>
      </c>
      <c r="J71" s="409">
        <f t="shared" si="18"/>
        <v>553.9000000000002</v>
      </c>
      <c r="K71" s="410">
        <f t="shared" si="0"/>
        <v>28.58</v>
      </c>
      <c r="L71" s="411">
        <f t="shared" si="4"/>
        <v>1629.059999999999</v>
      </c>
      <c r="M71" s="412"/>
      <c r="N71" s="412"/>
      <c r="O71" s="434">
        <f t="shared" si="10"/>
        <v>28.58</v>
      </c>
      <c r="P71" s="435">
        <f t="shared" si="17"/>
        <v>1618.955999999999</v>
      </c>
      <c r="Q71" s="412"/>
      <c r="R71" s="406">
        <v>2082</v>
      </c>
      <c r="S71" s="436">
        <f t="shared" si="14"/>
        <v>0</v>
      </c>
      <c r="T71" s="436">
        <f t="shared" si="15"/>
        <v>0</v>
      </c>
      <c r="U71" s="437">
        <f t="shared" si="16"/>
        <v>0</v>
      </c>
    </row>
    <row r="72" spans="1:21" s="389" customFormat="1" ht="18.75" customHeight="1">
      <c r="A72" s="390"/>
      <c r="B72" s="406">
        <v>2083</v>
      </c>
      <c r="C72" s="407">
        <f t="shared" si="1"/>
        <v>1.2560409976971229E-2</v>
      </c>
      <c r="D72" s="408">
        <f t="shared" si="9"/>
        <v>123324</v>
      </c>
      <c r="E72" s="408">
        <f t="shared" si="2"/>
        <v>1549</v>
      </c>
      <c r="F72" s="408">
        <v>934</v>
      </c>
      <c r="G72" s="409">
        <v>19.03</v>
      </c>
      <c r="H72" s="409">
        <v>9.5500000000000007</v>
      </c>
      <c r="I72" s="409">
        <f t="shared" si="18"/>
        <v>1122.7699999999988</v>
      </c>
      <c r="J72" s="409">
        <f t="shared" si="18"/>
        <v>563.45000000000016</v>
      </c>
      <c r="K72" s="410">
        <f t="shared" si="0"/>
        <v>28.58</v>
      </c>
      <c r="L72" s="411">
        <f t="shared" si="4"/>
        <v>1657.639999999999</v>
      </c>
      <c r="M72" s="412"/>
      <c r="N72" s="412"/>
      <c r="O72" s="434">
        <f t="shared" si="10"/>
        <v>28.58</v>
      </c>
      <c r="P72" s="435">
        <f t="shared" si="17"/>
        <v>1647.5359999999989</v>
      </c>
      <c r="Q72" s="412"/>
      <c r="R72" s="406">
        <v>2083</v>
      </c>
      <c r="S72" s="436">
        <f t="shared" si="14"/>
        <v>0</v>
      </c>
      <c r="T72" s="436">
        <f t="shared" si="15"/>
        <v>0</v>
      </c>
      <c r="U72" s="437">
        <f t="shared" si="16"/>
        <v>0</v>
      </c>
    </row>
    <row r="73" spans="1:21" s="389" customFormat="1" ht="18.75" customHeight="1">
      <c r="A73" s="390"/>
      <c r="B73" s="406">
        <v>2084</v>
      </c>
      <c r="C73" s="407">
        <f t="shared" si="1"/>
        <v>1.2404603076725954E-2</v>
      </c>
      <c r="D73" s="408">
        <f t="shared" si="9"/>
        <v>124873</v>
      </c>
      <c r="E73" s="408">
        <f t="shared" si="2"/>
        <v>1549</v>
      </c>
      <c r="F73" s="408">
        <v>934</v>
      </c>
      <c r="G73" s="409">
        <v>19.03</v>
      </c>
      <c r="H73" s="409">
        <v>9.5500000000000007</v>
      </c>
      <c r="I73" s="409">
        <f t="shared" si="18"/>
        <v>1141.7999999999988</v>
      </c>
      <c r="J73" s="409">
        <f t="shared" si="18"/>
        <v>573.00000000000011</v>
      </c>
      <c r="K73" s="410">
        <f t="shared" si="0"/>
        <v>28.58</v>
      </c>
      <c r="L73" s="411">
        <f t="shared" si="4"/>
        <v>1686.2199999999989</v>
      </c>
      <c r="M73" s="412"/>
      <c r="N73" s="412"/>
      <c r="O73" s="434">
        <f t="shared" si="10"/>
        <v>28.58</v>
      </c>
      <c r="P73" s="435">
        <f t="shared" si="17"/>
        <v>1676.1159999999988</v>
      </c>
      <c r="Q73" s="412"/>
      <c r="R73" s="406">
        <v>2084</v>
      </c>
      <c r="S73" s="436">
        <f t="shared" si="14"/>
        <v>0</v>
      </c>
      <c r="T73" s="436">
        <f t="shared" si="15"/>
        <v>0</v>
      </c>
      <c r="U73" s="437">
        <f t="shared" si="16"/>
        <v>0</v>
      </c>
    </row>
    <row r="74" spans="1:21" s="389" customFormat="1" ht="18.75" customHeight="1">
      <c r="A74" s="390"/>
      <c r="B74" s="406">
        <v>2085</v>
      </c>
      <c r="C74" s="407">
        <f t="shared" si="1"/>
        <v>1.2252614260176235E-2</v>
      </c>
      <c r="D74" s="408">
        <f t="shared" si="9"/>
        <v>126422</v>
      </c>
      <c r="E74" s="408">
        <f t="shared" si="2"/>
        <v>1549</v>
      </c>
      <c r="F74" s="408">
        <v>934</v>
      </c>
      <c r="G74" s="409">
        <v>19.03</v>
      </c>
      <c r="H74" s="409">
        <v>9.5500000000000007</v>
      </c>
      <c r="I74" s="409">
        <f t="shared" si="18"/>
        <v>1160.8299999999988</v>
      </c>
      <c r="J74" s="409">
        <f t="shared" si="18"/>
        <v>582.55000000000007</v>
      </c>
      <c r="K74" s="410">
        <f t="shared" si="0"/>
        <v>28.58</v>
      </c>
      <c r="L74" s="411">
        <f t="shared" si="4"/>
        <v>1714.7999999999988</v>
      </c>
      <c r="M74" s="412"/>
      <c r="N74" s="412"/>
      <c r="O74" s="434">
        <f t="shared" si="10"/>
        <v>28.58</v>
      </c>
      <c r="P74" s="435">
        <f t="shared" si="17"/>
        <v>1704.6959999999988</v>
      </c>
      <c r="Q74" s="412"/>
      <c r="R74" s="406">
        <v>2085</v>
      </c>
      <c r="S74" s="436">
        <f t="shared" si="14"/>
        <v>0</v>
      </c>
      <c r="T74" s="436">
        <f t="shared" si="15"/>
        <v>0</v>
      </c>
      <c r="U74" s="437">
        <f t="shared" si="16"/>
        <v>0</v>
      </c>
    </row>
    <row r="75" spans="1:21" s="389" customFormat="1" ht="18.75" customHeight="1">
      <c r="A75" s="390"/>
      <c r="B75" s="406">
        <v>2086</v>
      </c>
      <c r="C75" s="407">
        <f t="shared" si="1"/>
        <v>1.2104304881574731E-2</v>
      </c>
      <c r="D75" s="408">
        <f t="shared" si="9"/>
        <v>127971</v>
      </c>
      <c r="E75" s="408">
        <f t="shared" si="2"/>
        <v>1549</v>
      </c>
      <c r="F75" s="408">
        <v>934</v>
      </c>
      <c r="G75" s="409">
        <v>19.03</v>
      </c>
      <c r="H75" s="409">
        <v>9.5500000000000007</v>
      </c>
      <c r="I75" s="409">
        <f t="shared" si="18"/>
        <v>1179.8599999999988</v>
      </c>
      <c r="J75" s="409">
        <f t="shared" si="18"/>
        <v>592.1</v>
      </c>
      <c r="K75" s="410">
        <f t="shared" si="0"/>
        <v>28.58</v>
      </c>
      <c r="L75" s="411">
        <f t="shared" si="4"/>
        <v>1743.3799999999987</v>
      </c>
      <c r="M75" s="412"/>
      <c r="N75" s="412"/>
      <c r="O75" s="434">
        <f t="shared" si="10"/>
        <v>28.58</v>
      </c>
      <c r="P75" s="435">
        <f t="shared" si="17"/>
        <v>1733.2759999999987</v>
      </c>
      <c r="Q75" s="412"/>
      <c r="R75" s="406">
        <v>2086</v>
      </c>
      <c r="S75" s="436">
        <f t="shared" si="14"/>
        <v>0</v>
      </c>
      <c r="T75" s="436">
        <f t="shared" si="15"/>
        <v>0</v>
      </c>
      <c r="U75" s="437">
        <f t="shared" si="16"/>
        <v>0</v>
      </c>
    </row>
    <row r="76" spans="1:21" s="389" customFormat="1" ht="18.75" customHeight="1">
      <c r="A76" s="390"/>
      <c r="B76" s="406">
        <v>2087</v>
      </c>
      <c r="C76" s="407">
        <f t="shared" si="1"/>
        <v>1.1959542927733168E-2</v>
      </c>
      <c r="D76" s="408">
        <f t="shared" si="9"/>
        <v>129520</v>
      </c>
      <c r="E76" s="408">
        <f t="shared" si="2"/>
        <v>1549</v>
      </c>
      <c r="F76" s="408">
        <v>934</v>
      </c>
      <c r="G76" s="409">
        <v>19.03</v>
      </c>
      <c r="H76" s="409">
        <v>9.5500000000000007</v>
      </c>
      <c r="I76" s="409">
        <f t="shared" si="18"/>
        <v>1198.8899999999987</v>
      </c>
      <c r="J76" s="409">
        <f t="shared" si="18"/>
        <v>601.65</v>
      </c>
      <c r="K76" s="410">
        <f t="shared" si="0"/>
        <v>28.58</v>
      </c>
      <c r="L76" s="411">
        <f t="shared" si="4"/>
        <v>1771.9599999999987</v>
      </c>
      <c r="M76" s="412"/>
      <c r="N76" s="412"/>
      <c r="O76" s="434">
        <f t="shared" si="10"/>
        <v>28.58</v>
      </c>
      <c r="P76" s="435">
        <f t="shared" si="17"/>
        <v>1761.8559999999986</v>
      </c>
      <c r="Q76" s="412"/>
      <c r="R76" s="406">
        <v>2087</v>
      </c>
      <c r="S76" s="436">
        <f t="shared" si="14"/>
        <v>0</v>
      </c>
      <c r="T76" s="436">
        <f t="shared" si="15"/>
        <v>0</v>
      </c>
      <c r="U76" s="437">
        <f t="shared" si="16"/>
        <v>0</v>
      </c>
    </row>
    <row r="77" spans="1:21" s="389" customFormat="1" ht="18.75" customHeight="1">
      <c r="A77" s="390"/>
      <c r="B77" s="406">
        <v>2088</v>
      </c>
      <c r="C77" s="407">
        <f t="shared" ref="C77:C123" si="19">(D78-D77)/D77</f>
        <v>1.1818202626097705E-2</v>
      </c>
      <c r="D77" s="408">
        <f t="shared" si="9"/>
        <v>131069</v>
      </c>
      <c r="E77" s="408">
        <f t="shared" si="2"/>
        <v>1549</v>
      </c>
      <c r="F77" s="408">
        <v>934</v>
      </c>
      <c r="G77" s="409">
        <v>19.03</v>
      </c>
      <c r="H77" s="409">
        <v>9.5500000000000007</v>
      </c>
      <c r="I77" s="409">
        <f t="shared" si="18"/>
        <v>1217.9199999999987</v>
      </c>
      <c r="J77" s="409">
        <f t="shared" si="18"/>
        <v>611.19999999999993</v>
      </c>
      <c r="K77" s="410">
        <f t="shared" si="0"/>
        <v>28.58</v>
      </c>
      <c r="L77" s="411">
        <f t="shared" si="4"/>
        <v>1800.5399999999986</v>
      </c>
      <c r="M77" s="412"/>
      <c r="N77" s="412"/>
      <c r="O77" s="434">
        <f t="shared" si="10"/>
        <v>28.58</v>
      </c>
      <c r="P77" s="435">
        <f t="shared" si="17"/>
        <v>1790.4359999999986</v>
      </c>
      <c r="Q77" s="412"/>
      <c r="R77" s="406">
        <v>2088</v>
      </c>
      <c r="S77" s="436">
        <f t="shared" si="14"/>
        <v>0</v>
      </c>
      <c r="T77" s="436">
        <f t="shared" si="15"/>
        <v>0</v>
      </c>
      <c r="U77" s="437">
        <f t="shared" si="16"/>
        <v>0</v>
      </c>
    </row>
    <row r="78" spans="1:21" s="389" customFormat="1" ht="18.75" customHeight="1">
      <c r="A78" s="390"/>
      <c r="B78" s="406">
        <v>2089</v>
      </c>
      <c r="C78" s="407">
        <f t="shared" si="19"/>
        <v>1.168016408029076E-2</v>
      </c>
      <c r="D78" s="408">
        <f t="shared" ref="D78:D124" si="20">E78+D77</f>
        <v>132618</v>
      </c>
      <c r="E78" s="408">
        <f t="shared" si="2"/>
        <v>1549</v>
      </c>
      <c r="F78" s="408">
        <v>934</v>
      </c>
      <c r="G78" s="409">
        <v>19.03</v>
      </c>
      <c r="H78" s="409">
        <v>9.5500000000000007</v>
      </c>
      <c r="I78" s="409">
        <f t="shared" ref="I78:J93" si="21">+G78+I77</f>
        <v>1236.9499999999987</v>
      </c>
      <c r="J78" s="409">
        <f t="shared" si="21"/>
        <v>620.74999999999989</v>
      </c>
      <c r="K78" s="410">
        <f t="shared" ref="K78:K124" si="22">ROUND(G78+H78,2)</f>
        <v>28.58</v>
      </c>
      <c r="L78" s="411">
        <f t="shared" si="4"/>
        <v>1829.1199999999985</v>
      </c>
      <c r="M78" s="412"/>
      <c r="N78" s="412"/>
      <c r="O78" s="434">
        <f t="shared" si="10"/>
        <v>28.58</v>
      </c>
      <c r="P78" s="435">
        <f t="shared" si="17"/>
        <v>1819.0159999999985</v>
      </c>
      <c r="Q78" s="412"/>
      <c r="R78" s="406">
        <v>2089</v>
      </c>
      <c r="S78" s="436">
        <f t="shared" si="14"/>
        <v>0</v>
      </c>
      <c r="T78" s="436">
        <f t="shared" si="15"/>
        <v>0</v>
      </c>
      <c r="U78" s="437">
        <f t="shared" si="16"/>
        <v>0</v>
      </c>
    </row>
    <row r="79" spans="1:21" s="389" customFormat="1" ht="18.75" customHeight="1">
      <c r="A79" s="390"/>
      <c r="B79" s="406">
        <v>2090</v>
      </c>
      <c r="C79" s="407">
        <f t="shared" si="19"/>
        <v>1.154531293089955E-2</v>
      </c>
      <c r="D79" s="408">
        <f t="shared" si="20"/>
        <v>134167</v>
      </c>
      <c r="E79" s="408">
        <f t="shared" ref="E79:E124" si="23">+E78</f>
        <v>1549</v>
      </c>
      <c r="F79" s="408">
        <v>934</v>
      </c>
      <c r="G79" s="409">
        <v>19.03</v>
      </c>
      <c r="H79" s="409">
        <v>9.5500000000000007</v>
      </c>
      <c r="I79" s="409">
        <f t="shared" si="21"/>
        <v>1255.9799999999987</v>
      </c>
      <c r="J79" s="409">
        <f t="shared" si="21"/>
        <v>630.29999999999984</v>
      </c>
      <c r="K79" s="410">
        <f t="shared" si="22"/>
        <v>28.58</v>
      </c>
      <c r="L79" s="411">
        <f t="shared" ref="L79:L124" si="24">+K79+L78</f>
        <v>1857.6999999999985</v>
      </c>
      <c r="M79" s="412"/>
      <c r="N79" s="412"/>
      <c r="O79" s="434">
        <f t="shared" si="10"/>
        <v>28.58</v>
      </c>
      <c r="P79" s="435">
        <f t="shared" si="17"/>
        <v>1847.5959999999984</v>
      </c>
      <c r="Q79" s="412"/>
      <c r="R79" s="406">
        <v>2090</v>
      </c>
      <c r="S79" s="436">
        <f t="shared" ref="S79:S110" si="25">IF($S$14&gt;$P79,$O79,IF($S$14-$P78&gt;0,$S$14-$P78,0))</f>
        <v>0</v>
      </c>
      <c r="T79" s="436">
        <f t="shared" ref="T79:T110" si="26">IF($T$14&gt;$P79,$O79,IF($T$14-$P78&gt;0,$T$14-$P78,0))</f>
        <v>0</v>
      </c>
      <c r="U79" s="437">
        <f t="shared" ref="U79:U110" si="27">IF($U$14&gt;$P79,$O79,IF($U$14-$P78&gt;0,$U$14-$P78,0))</f>
        <v>0</v>
      </c>
    </row>
    <row r="80" spans="1:21" s="389" customFormat="1" ht="18.75" customHeight="1">
      <c r="A80" s="390"/>
      <c r="B80" s="406">
        <v>2091</v>
      </c>
      <c r="C80" s="407">
        <f t="shared" si="19"/>
        <v>1.1413540039494238E-2</v>
      </c>
      <c r="D80" s="408">
        <f t="shared" si="20"/>
        <v>135716</v>
      </c>
      <c r="E80" s="408">
        <f t="shared" si="23"/>
        <v>1549</v>
      </c>
      <c r="F80" s="408">
        <v>934</v>
      </c>
      <c r="G80" s="409">
        <v>19.03</v>
      </c>
      <c r="H80" s="409">
        <v>9.5500000000000007</v>
      </c>
      <c r="I80" s="409">
        <f t="shared" si="21"/>
        <v>1275.0099999999986</v>
      </c>
      <c r="J80" s="409">
        <f t="shared" si="21"/>
        <v>639.8499999999998</v>
      </c>
      <c r="K80" s="410">
        <f t="shared" si="22"/>
        <v>28.58</v>
      </c>
      <c r="L80" s="411">
        <f t="shared" si="24"/>
        <v>1886.2799999999984</v>
      </c>
      <c r="M80" s="412"/>
      <c r="N80" s="412"/>
      <c r="O80" s="434">
        <f t="shared" si="10"/>
        <v>28.58</v>
      </c>
      <c r="P80" s="435">
        <f t="shared" ref="P80:P111" si="28">O80+P79</f>
        <v>1876.1759999999983</v>
      </c>
      <c r="Q80" s="412"/>
      <c r="R80" s="406">
        <v>2091</v>
      </c>
      <c r="S80" s="436">
        <f t="shared" si="25"/>
        <v>0</v>
      </c>
      <c r="T80" s="436">
        <f t="shared" si="26"/>
        <v>0</v>
      </c>
      <c r="U80" s="437">
        <f t="shared" si="27"/>
        <v>0</v>
      </c>
    </row>
    <row r="81" spans="1:21" s="389" customFormat="1" ht="18.75" customHeight="1">
      <c r="A81" s="390"/>
      <c r="B81" s="406">
        <v>2092</v>
      </c>
      <c r="C81" s="407">
        <f t="shared" si="19"/>
        <v>1.1284741194040724E-2</v>
      </c>
      <c r="D81" s="408">
        <f t="shared" si="20"/>
        <v>137265</v>
      </c>
      <c r="E81" s="408">
        <f t="shared" si="23"/>
        <v>1549</v>
      </c>
      <c r="F81" s="408">
        <v>934</v>
      </c>
      <c r="G81" s="409">
        <v>19.03</v>
      </c>
      <c r="H81" s="409">
        <v>9.5500000000000007</v>
      </c>
      <c r="I81" s="409">
        <f t="shared" si="21"/>
        <v>1294.0399999999986</v>
      </c>
      <c r="J81" s="409">
        <f t="shared" si="21"/>
        <v>649.39999999999975</v>
      </c>
      <c r="K81" s="410">
        <f t="shared" si="22"/>
        <v>28.58</v>
      </c>
      <c r="L81" s="411">
        <f t="shared" si="24"/>
        <v>1914.8599999999983</v>
      </c>
      <c r="M81" s="412"/>
      <c r="N81" s="412"/>
      <c r="O81" s="434">
        <f t="shared" ref="O81:O124" si="29">K81</f>
        <v>28.58</v>
      </c>
      <c r="P81" s="435">
        <f t="shared" si="28"/>
        <v>1904.7559999999983</v>
      </c>
      <c r="Q81" s="412"/>
      <c r="R81" s="406">
        <v>2092</v>
      </c>
      <c r="S81" s="436">
        <f t="shared" si="25"/>
        <v>0</v>
      </c>
      <c r="T81" s="436">
        <f t="shared" si="26"/>
        <v>0</v>
      </c>
      <c r="U81" s="437">
        <f t="shared" si="27"/>
        <v>0</v>
      </c>
    </row>
    <row r="82" spans="1:21" s="389" customFormat="1" ht="18.75" customHeight="1">
      <c r="A82" s="390"/>
      <c r="B82" s="406">
        <v>2093</v>
      </c>
      <c r="C82" s="407">
        <f t="shared" si="19"/>
        <v>1.1158816834036913E-2</v>
      </c>
      <c r="D82" s="408">
        <f t="shared" si="20"/>
        <v>138814</v>
      </c>
      <c r="E82" s="408">
        <f t="shared" si="23"/>
        <v>1549</v>
      </c>
      <c r="F82" s="408">
        <v>934</v>
      </c>
      <c r="G82" s="409">
        <v>19.03</v>
      </c>
      <c r="H82" s="409">
        <v>9.5500000000000007</v>
      </c>
      <c r="I82" s="409">
        <f t="shared" si="21"/>
        <v>1313.0699999999986</v>
      </c>
      <c r="J82" s="409">
        <f t="shared" si="21"/>
        <v>658.9499999999997</v>
      </c>
      <c r="K82" s="410">
        <f t="shared" si="22"/>
        <v>28.58</v>
      </c>
      <c r="L82" s="411">
        <f t="shared" si="24"/>
        <v>1943.4399999999982</v>
      </c>
      <c r="M82" s="412"/>
      <c r="N82" s="412"/>
      <c r="O82" s="434">
        <f t="shared" si="29"/>
        <v>28.58</v>
      </c>
      <c r="P82" s="435">
        <f t="shared" si="28"/>
        <v>1933.3359999999982</v>
      </c>
      <c r="Q82" s="412"/>
      <c r="R82" s="406">
        <v>2093</v>
      </c>
      <c r="S82" s="436">
        <f t="shared" si="25"/>
        <v>0</v>
      </c>
      <c r="T82" s="436">
        <f t="shared" si="26"/>
        <v>0</v>
      </c>
      <c r="U82" s="437">
        <f t="shared" si="27"/>
        <v>0</v>
      </c>
    </row>
    <row r="83" spans="1:21" s="389" customFormat="1" ht="18.75" customHeight="1">
      <c r="A83" s="390"/>
      <c r="B83" s="406">
        <v>2094</v>
      </c>
      <c r="C83" s="407">
        <f t="shared" si="19"/>
        <v>1.1035671793848807E-2</v>
      </c>
      <c r="D83" s="408">
        <f t="shared" si="20"/>
        <v>140363</v>
      </c>
      <c r="E83" s="408">
        <f t="shared" si="23"/>
        <v>1549</v>
      </c>
      <c r="F83" s="408">
        <v>934</v>
      </c>
      <c r="G83" s="409">
        <v>19.03</v>
      </c>
      <c r="H83" s="409">
        <v>9.5500000000000007</v>
      </c>
      <c r="I83" s="409">
        <f t="shared" si="21"/>
        <v>1332.0999999999985</v>
      </c>
      <c r="J83" s="409">
        <f t="shared" si="21"/>
        <v>668.49999999999966</v>
      </c>
      <c r="K83" s="410">
        <f t="shared" si="22"/>
        <v>28.58</v>
      </c>
      <c r="L83" s="411">
        <f t="shared" si="24"/>
        <v>1972.0199999999982</v>
      </c>
      <c r="M83" s="412"/>
      <c r="N83" s="412"/>
      <c r="O83" s="434">
        <f t="shared" si="29"/>
        <v>28.58</v>
      </c>
      <c r="P83" s="435">
        <f t="shared" si="28"/>
        <v>1961.9159999999981</v>
      </c>
      <c r="Q83" s="412"/>
      <c r="R83" s="406">
        <v>2094</v>
      </c>
      <c r="S83" s="436">
        <f t="shared" si="25"/>
        <v>0</v>
      </c>
      <c r="T83" s="436">
        <f t="shared" si="26"/>
        <v>0</v>
      </c>
      <c r="U83" s="437">
        <f t="shared" si="27"/>
        <v>0</v>
      </c>
    </row>
    <row r="84" spans="1:21" s="389" customFormat="1" ht="18.75" customHeight="1">
      <c r="A84" s="390"/>
      <c r="B84" s="406">
        <v>2095</v>
      </c>
      <c r="C84" s="407">
        <f t="shared" si="19"/>
        <v>1.0915215062855855E-2</v>
      </c>
      <c r="D84" s="408">
        <f t="shared" si="20"/>
        <v>141912</v>
      </c>
      <c r="E84" s="408">
        <f t="shared" si="23"/>
        <v>1549</v>
      </c>
      <c r="F84" s="408">
        <v>934</v>
      </c>
      <c r="G84" s="409">
        <v>19.03</v>
      </c>
      <c r="H84" s="409">
        <v>9.5500000000000007</v>
      </c>
      <c r="I84" s="409">
        <f t="shared" si="21"/>
        <v>1351.1299999999985</v>
      </c>
      <c r="J84" s="409">
        <f t="shared" si="21"/>
        <v>678.04999999999961</v>
      </c>
      <c r="K84" s="410">
        <f t="shared" si="22"/>
        <v>28.58</v>
      </c>
      <c r="L84" s="411">
        <f t="shared" si="24"/>
        <v>2000.5999999999981</v>
      </c>
      <c r="M84" s="412"/>
      <c r="N84" s="412"/>
      <c r="O84" s="434">
        <f t="shared" si="29"/>
        <v>28.58</v>
      </c>
      <c r="P84" s="435">
        <f t="shared" si="28"/>
        <v>1990.495999999998</v>
      </c>
      <c r="Q84" s="412"/>
      <c r="R84" s="406">
        <v>2095</v>
      </c>
      <c r="S84" s="436">
        <f t="shared" si="25"/>
        <v>0</v>
      </c>
      <c r="T84" s="436">
        <f t="shared" si="26"/>
        <v>0</v>
      </c>
      <c r="U84" s="437">
        <f t="shared" si="27"/>
        <v>0</v>
      </c>
    </row>
    <row r="85" spans="1:21" s="389" customFormat="1" ht="18.75" customHeight="1">
      <c r="A85" s="390"/>
      <c r="B85" s="406">
        <v>2096</v>
      </c>
      <c r="C85" s="407">
        <f t="shared" si="19"/>
        <v>1.0797359561135082E-2</v>
      </c>
      <c r="D85" s="408">
        <f t="shared" si="20"/>
        <v>143461</v>
      </c>
      <c r="E85" s="408">
        <f t="shared" si="23"/>
        <v>1549</v>
      </c>
      <c r="F85" s="408">
        <v>934</v>
      </c>
      <c r="G85" s="409">
        <v>19.03</v>
      </c>
      <c r="H85" s="409">
        <v>9.5500000000000007</v>
      </c>
      <c r="I85" s="409">
        <f t="shared" si="21"/>
        <v>1370.1599999999985</v>
      </c>
      <c r="J85" s="409">
        <f t="shared" si="21"/>
        <v>687.59999999999957</v>
      </c>
      <c r="K85" s="410">
        <f t="shared" si="22"/>
        <v>28.58</v>
      </c>
      <c r="L85" s="411">
        <f t="shared" si="24"/>
        <v>2029.179999999998</v>
      </c>
      <c r="M85" s="412"/>
      <c r="N85" s="412"/>
      <c r="O85" s="434">
        <f t="shared" si="29"/>
        <v>28.58</v>
      </c>
      <c r="P85" s="435">
        <f t="shared" si="28"/>
        <v>2019.075999999998</v>
      </c>
      <c r="Q85" s="412"/>
      <c r="R85" s="406">
        <v>2096</v>
      </c>
      <c r="S85" s="436">
        <f t="shared" si="25"/>
        <v>0</v>
      </c>
      <c r="T85" s="436">
        <f t="shared" si="26"/>
        <v>0</v>
      </c>
      <c r="U85" s="437">
        <f t="shared" si="27"/>
        <v>0</v>
      </c>
    </row>
    <row r="86" spans="1:21" s="389" customFormat="1" ht="18.75" customHeight="1">
      <c r="A86" s="390"/>
      <c r="B86" s="406">
        <v>2097</v>
      </c>
      <c r="C86" s="407">
        <f t="shared" si="19"/>
        <v>1.0682021929522102E-2</v>
      </c>
      <c r="D86" s="408">
        <f t="shared" si="20"/>
        <v>145010</v>
      </c>
      <c r="E86" s="408">
        <f t="shared" si="23"/>
        <v>1549</v>
      </c>
      <c r="F86" s="408">
        <v>934</v>
      </c>
      <c r="G86" s="409">
        <v>19.03</v>
      </c>
      <c r="H86" s="409">
        <v>9.5500000000000007</v>
      </c>
      <c r="I86" s="409">
        <f t="shared" si="21"/>
        <v>1389.1899999999985</v>
      </c>
      <c r="J86" s="409">
        <f t="shared" si="21"/>
        <v>697.14999999999952</v>
      </c>
      <c r="K86" s="410">
        <f t="shared" si="22"/>
        <v>28.58</v>
      </c>
      <c r="L86" s="411">
        <f t="shared" si="24"/>
        <v>2057.7599999999979</v>
      </c>
      <c r="M86" s="412"/>
      <c r="N86" s="412"/>
      <c r="O86" s="434">
        <f t="shared" si="29"/>
        <v>28.58</v>
      </c>
      <c r="P86" s="435">
        <f t="shared" si="28"/>
        <v>2047.6559999999979</v>
      </c>
      <c r="Q86" s="412"/>
      <c r="R86" s="406">
        <v>2097</v>
      </c>
      <c r="S86" s="436">
        <f t="shared" si="25"/>
        <v>0</v>
      </c>
      <c r="T86" s="436">
        <f t="shared" si="26"/>
        <v>0</v>
      </c>
      <c r="U86" s="437">
        <f t="shared" si="27"/>
        <v>0</v>
      </c>
    </row>
    <row r="87" spans="1:21" s="389" customFormat="1" ht="18.75" customHeight="1">
      <c r="A87" s="390"/>
      <c r="B87" s="406">
        <v>2098</v>
      </c>
      <c r="C87" s="407">
        <f t="shared" si="19"/>
        <v>1.0569122332985351E-2</v>
      </c>
      <c r="D87" s="408">
        <f t="shared" si="20"/>
        <v>146559</v>
      </c>
      <c r="E87" s="408">
        <f t="shared" si="23"/>
        <v>1549</v>
      </c>
      <c r="F87" s="408">
        <v>934</v>
      </c>
      <c r="G87" s="409">
        <v>19.03</v>
      </c>
      <c r="H87" s="409">
        <v>9.5500000000000007</v>
      </c>
      <c r="I87" s="409">
        <f t="shared" si="21"/>
        <v>1408.2199999999984</v>
      </c>
      <c r="J87" s="409">
        <f t="shared" si="21"/>
        <v>706.69999999999948</v>
      </c>
      <c r="K87" s="410">
        <f t="shared" si="22"/>
        <v>28.58</v>
      </c>
      <c r="L87" s="411">
        <f t="shared" si="24"/>
        <v>2086.3399999999979</v>
      </c>
      <c r="M87" s="412"/>
      <c r="N87" s="412"/>
      <c r="O87" s="434">
        <f t="shared" si="29"/>
        <v>28.58</v>
      </c>
      <c r="P87" s="435">
        <f t="shared" si="28"/>
        <v>2076.2359999999981</v>
      </c>
      <c r="Q87" s="412"/>
      <c r="R87" s="406">
        <v>2098</v>
      </c>
      <c r="S87" s="436">
        <f t="shared" si="25"/>
        <v>0</v>
      </c>
      <c r="T87" s="436">
        <f t="shared" si="26"/>
        <v>0</v>
      </c>
      <c r="U87" s="437">
        <f t="shared" si="27"/>
        <v>0</v>
      </c>
    </row>
    <row r="88" spans="1:21" s="389" customFormat="1" ht="18.75" customHeight="1">
      <c r="A88" s="390"/>
      <c r="B88" s="406">
        <v>2099</v>
      </c>
      <c r="C88" s="407">
        <f t="shared" si="19"/>
        <v>1.0458584276338887E-2</v>
      </c>
      <c r="D88" s="408">
        <f t="shared" si="20"/>
        <v>148108</v>
      </c>
      <c r="E88" s="408">
        <f t="shared" si="23"/>
        <v>1549</v>
      </c>
      <c r="F88" s="408">
        <v>934</v>
      </c>
      <c r="G88" s="409">
        <v>19.03</v>
      </c>
      <c r="H88" s="409">
        <v>9.5500000000000007</v>
      </c>
      <c r="I88" s="409">
        <f t="shared" si="21"/>
        <v>1427.2499999999984</v>
      </c>
      <c r="J88" s="409">
        <f t="shared" si="21"/>
        <v>716.24999999999943</v>
      </c>
      <c r="K88" s="410">
        <f t="shared" si="22"/>
        <v>28.58</v>
      </c>
      <c r="L88" s="411">
        <f t="shared" si="24"/>
        <v>2114.9199999999978</v>
      </c>
      <c r="M88" s="412"/>
      <c r="N88" s="412"/>
      <c r="O88" s="434">
        <f t="shared" si="29"/>
        <v>28.58</v>
      </c>
      <c r="P88" s="435">
        <f t="shared" si="28"/>
        <v>2104.815999999998</v>
      </c>
      <c r="Q88" s="412"/>
      <c r="R88" s="406">
        <v>2099</v>
      </c>
      <c r="S88" s="436">
        <f t="shared" si="25"/>
        <v>0</v>
      </c>
      <c r="T88" s="436">
        <f t="shared" si="26"/>
        <v>0</v>
      </c>
      <c r="U88" s="437">
        <f t="shared" si="27"/>
        <v>0</v>
      </c>
    </row>
    <row r="89" spans="1:21" s="389" customFormat="1" ht="18.75" customHeight="1">
      <c r="A89" s="390"/>
      <c r="B89" s="406">
        <v>2100</v>
      </c>
      <c r="C89" s="407">
        <f t="shared" si="19"/>
        <v>1.0350334431399801E-2</v>
      </c>
      <c r="D89" s="408">
        <f t="shared" si="20"/>
        <v>149657</v>
      </c>
      <c r="E89" s="408">
        <f t="shared" si="23"/>
        <v>1549</v>
      </c>
      <c r="F89" s="408">
        <v>934</v>
      </c>
      <c r="G89" s="409">
        <v>19.03</v>
      </c>
      <c r="H89" s="409">
        <v>9.5500000000000007</v>
      </c>
      <c r="I89" s="409">
        <f t="shared" si="21"/>
        <v>1446.2799999999984</v>
      </c>
      <c r="J89" s="409">
        <f t="shared" si="21"/>
        <v>725.79999999999939</v>
      </c>
      <c r="K89" s="410">
        <f t="shared" si="22"/>
        <v>28.58</v>
      </c>
      <c r="L89" s="411">
        <f t="shared" si="24"/>
        <v>2143.4999999999977</v>
      </c>
      <c r="M89" s="412"/>
      <c r="N89" s="412"/>
      <c r="O89" s="434">
        <f t="shared" si="29"/>
        <v>28.58</v>
      </c>
      <c r="P89" s="435">
        <f t="shared" si="28"/>
        <v>2133.3959999999979</v>
      </c>
      <c r="Q89" s="412"/>
      <c r="R89" s="406">
        <v>2100</v>
      </c>
      <c r="S89" s="436">
        <f t="shared" si="25"/>
        <v>0</v>
      </c>
      <c r="T89" s="436">
        <f t="shared" si="26"/>
        <v>0</v>
      </c>
      <c r="U89" s="437">
        <f t="shared" si="27"/>
        <v>0</v>
      </c>
    </row>
    <row r="90" spans="1:21" s="389" customFormat="1" ht="18.75" customHeight="1">
      <c r="A90" s="390"/>
      <c r="B90" s="406">
        <v>2101</v>
      </c>
      <c r="C90" s="407">
        <f t="shared" si="19"/>
        <v>1.0244302474769519E-2</v>
      </c>
      <c r="D90" s="408">
        <f t="shared" si="20"/>
        <v>151206</v>
      </c>
      <c r="E90" s="408">
        <f t="shared" si="23"/>
        <v>1549</v>
      </c>
      <c r="F90" s="408">
        <v>934</v>
      </c>
      <c r="G90" s="409">
        <v>19.03</v>
      </c>
      <c r="H90" s="409">
        <v>9.5500000000000007</v>
      </c>
      <c r="I90" s="409">
        <f t="shared" si="21"/>
        <v>1465.3099999999984</v>
      </c>
      <c r="J90" s="409">
        <f t="shared" si="21"/>
        <v>735.34999999999934</v>
      </c>
      <c r="K90" s="410">
        <f t="shared" si="22"/>
        <v>28.58</v>
      </c>
      <c r="L90" s="411">
        <f t="shared" si="24"/>
        <v>2172.0799999999977</v>
      </c>
      <c r="M90" s="412"/>
      <c r="N90" s="412"/>
      <c r="O90" s="434">
        <f t="shared" si="29"/>
        <v>28.58</v>
      </c>
      <c r="P90" s="435">
        <f t="shared" si="28"/>
        <v>2161.9759999999978</v>
      </c>
      <c r="Q90" s="412"/>
      <c r="R90" s="406">
        <v>2101</v>
      </c>
      <c r="S90" s="436">
        <f t="shared" si="25"/>
        <v>0</v>
      </c>
      <c r="T90" s="436">
        <f t="shared" si="26"/>
        <v>0</v>
      </c>
      <c r="U90" s="437">
        <f t="shared" si="27"/>
        <v>0</v>
      </c>
    </row>
    <row r="91" spans="1:21" s="389" customFormat="1" ht="18.75" customHeight="1">
      <c r="A91" s="390"/>
      <c r="B91" s="406">
        <v>2102</v>
      </c>
      <c r="C91" s="407">
        <f t="shared" si="19"/>
        <v>1.0140420935484926E-2</v>
      </c>
      <c r="D91" s="408">
        <f t="shared" si="20"/>
        <v>152755</v>
      </c>
      <c r="E91" s="408">
        <f t="shared" si="23"/>
        <v>1549</v>
      </c>
      <c r="F91" s="408">
        <v>934</v>
      </c>
      <c r="G91" s="409">
        <v>19.03</v>
      </c>
      <c r="H91" s="409">
        <v>9.5500000000000007</v>
      </c>
      <c r="I91" s="409">
        <f t="shared" si="21"/>
        <v>1484.3399999999983</v>
      </c>
      <c r="J91" s="409">
        <f t="shared" si="21"/>
        <v>744.8999999999993</v>
      </c>
      <c r="K91" s="410">
        <f t="shared" si="22"/>
        <v>28.58</v>
      </c>
      <c r="L91" s="411">
        <f t="shared" si="24"/>
        <v>2200.6599999999976</v>
      </c>
      <c r="M91" s="412"/>
      <c r="N91" s="412"/>
      <c r="O91" s="434">
        <f t="shared" si="29"/>
        <v>28.58</v>
      </c>
      <c r="P91" s="435">
        <f t="shared" si="28"/>
        <v>2190.5559999999978</v>
      </c>
      <c r="Q91" s="412"/>
      <c r="R91" s="406">
        <v>2102</v>
      </c>
      <c r="S91" s="436">
        <f t="shared" si="25"/>
        <v>0</v>
      </c>
      <c r="T91" s="436">
        <f t="shared" si="26"/>
        <v>0</v>
      </c>
      <c r="U91" s="437">
        <f t="shared" si="27"/>
        <v>0</v>
      </c>
    </row>
    <row r="92" spans="1:21" s="389" customFormat="1" ht="18.75" customHeight="1">
      <c r="A92" s="390"/>
      <c r="B92" s="406">
        <v>2103</v>
      </c>
      <c r="C92" s="407">
        <f t="shared" si="19"/>
        <v>1.0038625051845707E-2</v>
      </c>
      <c r="D92" s="408">
        <f t="shared" si="20"/>
        <v>154304</v>
      </c>
      <c r="E92" s="408">
        <f t="shared" si="23"/>
        <v>1549</v>
      </c>
      <c r="F92" s="408">
        <v>934</v>
      </c>
      <c r="G92" s="409">
        <v>19.03</v>
      </c>
      <c r="H92" s="409">
        <v>9.5500000000000007</v>
      </c>
      <c r="I92" s="409">
        <f t="shared" si="21"/>
        <v>1503.3699999999983</v>
      </c>
      <c r="J92" s="409">
        <f t="shared" si="21"/>
        <v>754.44999999999925</v>
      </c>
      <c r="K92" s="410">
        <f t="shared" si="22"/>
        <v>28.58</v>
      </c>
      <c r="L92" s="411">
        <f t="shared" si="24"/>
        <v>2229.2399999999975</v>
      </c>
      <c r="M92" s="412"/>
      <c r="N92" s="412"/>
      <c r="O92" s="434">
        <f t="shared" si="29"/>
        <v>28.58</v>
      </c>
      <c r="P92" s="435">
        <f t="shared" si="28"/>
        <v>2219.1359999999977</v>
      </c>
      <c r="Q92" s="412"/>
      <c r="R92" s="406">
        <v>2103</v>
      </c>
      <c r="S92" s="436">
        <f t="shared" si="25"/>
        <v>0</v>
      </c>
      <c r="T92" s="436">
        <f t="shared" si="26"/>
        <v>0</v>
      </c>
      <c r="U92" s="437">
        <f t="shared" si="27"/>
        <v>0</v>
      </c>
    </row>
    <row r="93" spans="1:21" s="389" customFormat="1" ht="18.75" customHeight="1">
      <c r="A93" s="390"/>
      <c r="B93" s="406">
        <v>2104</v>
      </c>
      <c r="C93" s="407">
        <f t="shared" si="19"/>
        <v>9.9388526367795299E-3</v>
      </c>
      <c r="D93" s="408">
        <f t="shared" si="20"/>
        <v>155853</v>
      </c>
      <c r="E93" s="408">
        <f t="shared" si="23"/>
        <v>1549</v>
      </c>
      <c r="F93" s="408">
        <v>934</v>
      </c>
      <c r="G93" s="409">
        <v>19.03</v>
      </c>
      <c r="H93" s="409">
        <v>9.5500000000000007</v>
      </c>
      <c r="I93" s="409">
        <f t="shared" si="21"/>
        <v>1522.3999999999983</v>
      </c>
      <c r="J93" s="409">
        <f t="shared" si="21"/>
        <v>763.9999999999992</v>
      </c>
      <c r="K93" s="410">
        <f t="shared" si="22"/>
        <v>28.58</v>
      </c>
      <c r="L93" s="411">
        <f t="shared" si="24"/>
        <v>2257.8199999999974</v>
      </c>
      <c r="M93" s="412"/>
      <c r="N93" s="412"/>
      <c r="O93" s="434">
        <f t="shared" si="29"/>
        <v>28.58</v>
      </c>
      <c r="P93" s="435">
        <f t="shared" si="28"/>
        <v>2247.7159999999976</v>
      </c>
      <c r="Q93" s="412"/>
      <c r="R93" s="406">
        <v>2104</v>
      </c>
      <c r="S93" s="436">
        <f t="shared" si="25"/>
        <v>0</v>
      </c>
      <c r="T93" s="436">
        <f t="shared" si="26"/>
        <v>0</v>
      </c>
      <c r="U93" s="437">
        <f t="shared" si="27"/>
        <v>0</v>
      </c>
    </row>
    <row r="94" spans="1:21" s="389" customFormat="1" ht="18.75" customHeight="1">
      <c r="A94" s="390"/>
      <c r="B94" s="406">
        <v>2105</v>
      </c>
      <c r="C94" s="407">
        <f t="shared" si="19"/>
        <v>9.8410439511569109E-3</v>
      </c>
      <c r="D94" s="408">
        <f t="shared" si="20"/>
        <v>157402</v>
      </c>
      <c r="E94" s="408">
        <f t="shared" si="23"/>
        <v>1549</v>
      </c>
      <c r="F94" s="408">
        <v>934</v>
      </c>
      <c r="G94" s="409">
        <v>19.03</v>
      </c>
      <c r="H94" s="409">
        <v>9.5500000000000007</v>
      </c>
      <c r="I94" s="409">
        <f t="shared" ref="I94:J109" si="30">+G94+I93</f>
        <v>1541.4299999999982</v>
      </c>
      <c r="J94" s="409">
        <f t="shared" si="30"/>
        <v>773.54999999999916</v>
      </c>
      <c r="K94" s="410">
        <f t="shared" si="22"/>
        <v>28.58</v>
      </c>
      <c r="L94" s="411">
        <f t="shared" si="24"/>
        <v>2286.3999999999974</v>
      </c>
      <c r="M94" s="412"/>
      <c r="N94" s="412"/>
      <c r="O94" s="434">
        <f t="shared" si="29"/>
        <v>28.58</v>
      </c>
      <c r="P94" s="435">
        <f t="shared" si="28"/>
        <v>2276.2959999999975</v>
      </c>
      <c r="Q94" s="412"/>
      <c r="R94" s="406">
        <v>2105</v>
      </c>
      <c r="S94" s="436">
        <f t="shared" si="25"/>
        <v>0</v>
      </c>
      <c r="T94" s="436">
        <f t="shared" si="26"/>
        <v>0</v>
      </c>
      <c r="U94" s="437">
        <f t="shared" si="27"/>
        <v>0</v>
      </c>
    </row>
    <row r="95" spans="1:21" s="389" customFormat="1" ht="18.75" customHeight="1">
      <c r="A95" s="390"/>
      <c r="B95" s="406">
        <v>2106</v>
      </c>
      <c r="C95" s="407">
        <f t="shared" si="19"/>
        <v>9.745141584513466E-3</v>
      </c>
      <c r="D95" s="408">
        <f t="shared" si="20"/>
        <v>158951</v>
      </c>
      <c r="E95" s="408">
        <f t="shared" si="23"/>
        <v>1549</v>
      </c>
      <c r="F95" s="408">
        <v>934</v>
      </c>
      <c r="G95" s="409">
        <v>19.03</v>
      </c>
      <c r="H95" s="409">
        <v>9.5500000000000007</v>
      </c>
      <c r="I95" s="409">
        <f t="shared" si="30"/>
        <v>1560.4599999999982</v>
      </c>
      <c r="J95" s="409">
        <f t="shared" si="30"/>
        <v>783.09999999999911</v>
      </c>
      <c r="K95" s="410">
        <f t="shared" si="22"/>
        <v>28.58</v>
      </c>
      <c r="L95" s="411">
        <f t="shared" si="24"/>
        <v>2314.9799999999973</v>
      </c>
      <c r="M95" s="412"/>
      <c r="N95" s="412"/>
      <c r="O95" s="434">
        <f t="shared" si="29"/>
        <v>28.58</v>
      </c>
      <c r="P95" s="435">
        <f t="shared" si="28"/>
        <v>2304.8759999999975</v>
      </c>
      <c r="Q95" s="412"/>
      <c r="R95" s="406">
        <v>2106</v>
      </c>
      <c r="S95" s="436">
        <f t="shared" si="25"/>
        <v>0</v>
      </c>
      <c r="T95" s="436">
        <f t="shared" si="26"/>
        <v>0</v>
      </c>
      <c r="U95" s="437">
        <f t="shared" si="27"/>
        <v>0</v>
      </c>
    </row>
    <row r="96" spans="1:21" s="389" customFormat="1" ht="18.75" customHeight="1">
      <c r="A96" s="390"/>
      <c r="B96" s="406">
        <v>2107</v>
      </c>
      <c r="C96" s="407">
        <f t="shared" si="19"/>
        <v>9.6510903426791275E-3</v>
      </c>
      <c r="D96" s="408">
        <f t="shared" si="20"/>
        <v>160500</v>
      </c>
      <c r="E96" s="408">
        <f t="shared" si="23"/>
        <v>1549</v>
      </c>
      <c r="F96" s="408">
        <v>934</v>
      </c>
      <c r="G96" s="409">
        <v>19.03</v>
      </c>
      <c r="H96" s="409">
        <v>9.5500000000000007</v>
      </c>
      <c r="I96" s="409">
        <f t="shared" si="30"/>
        <v>1579.4899999999982</v>
      </c>
      <c r="J96" s="409">
        <f t="shared" si="30"/>
        <v>792.64999999999907</v>
      </c>
      <c r="K96" s="410">
        <f t="shared" si="22"/>
        <v>28.58</v>
      </c>
      <c r="L96" s="411">
        <f t="shared" si="24"/>
        <v>2343.5599999999972</v>
      </c>
      <c r="M96" s="412"/>
      <c r="N96" s="412"/>
      <c r="O96" s="434">
        <f t="shared" si="29"/>
        <v>28.58</v>
      </c>
      <c r="P96" s="435">
        <f t="shared" si="28"/>
        <v>2333.4559999999974</v>
      </c>
      <c r="Q96" s="412"/>
      <c r="R96" s="406">
        <v>2107</v>
      </c>
      <c r="S96" s="436">
        <f t="shared" si="25"/>
        <v>0</v>
      </c>
      <c r="T96" s="436">
        <f t="shared" si="26"/>
        <v>0</v>
      </c>
      <c r="U96" s="437">
        <f t="shared" si="27"/>
        <v>0</v>
      </c>
    </row>
    <row r="97" spans="1:21" s="389" customFormat="1" ht="18.75" customHeight="1">
      <c r="A97" s="390"/>
      <c r="B97" s="406">
        <v>2108</v>
      </c>
      <c r="C97" s="407">
        <f t="shared" si="19"/>
        <v>9.5588371418521556E-3</v>
      </c>
      <c r="D97" s="408">
        <f t="shared" si="20"/>
        <v>162049</v>
      </c>
      <c r="E97" s="408">
        <f t="shared" si="23"/>
        <v>1549</v>
      </c>
      <c r="F97" s="408">
        <v>934</v>
      </c>
      <c r="G97" s="409">
        <v>19.03</v>
      </c>
      <c r="H97" s="409">
        <v>9.5500000000000007</v>
      </c>
      <c r="I97" s="409">
        <f t="shared" si="30"/>
        <v>1598.5199999999982</v>
      </c>
      <c r="J97" s="409">
        <f t="shared" si="30"/>
        <v>802.19999999999902</v>
      </c>
      <c r="K97" s="410">
        <f t="shared" si="22"/>
        <v>28.58</v>
      </c>
      <c r="L97" s="411">
        <f t="shared" si="24"/>
        <v>2372.1399999999971</v>
      </c>
      <c r="M97" s="412"/>
      <c r="N97" s="412"/>
      <c r="O97" s="434">
        <f t="shared" si="29"/>
        <v>28.58</v>
      </c>
      <c r="P97" s="435">
        <f t="shared" si="28"/>
        <v>2362.0359999999973</v>
      </c>
      <c r="Q97" s="412"/>
      <c r="R97" s="406">
        <v>2108</v>
      </c>
      <c r="S97" s="436">
        <f t="shared" si="25"/>
        <v>0</v>
      </c>
      <c r="T97" s="436">
        <f t="shared" si="26"/>
        <v>0</v>
      </c>
      <c r="U97" s="437">
        <f t="shared" si="27"/>
        <v>0</v>
      </c>
    </row>
    <row r="98" spans="1:21" s="389" customFormat="1" ht="18.75" customHeight="1">
      <c r="A98" s="390"/>
      <c r="B98" s="406">
        <v>2109</v>
      </c>
      <c r="C98" s="407">
        <f t="shared" si="19"/>
        <v>9.4683309086908158E-3</v>
      </c>
      <c r="D98" s="408">
        <f t="shared" si="20"/>
        <v>163598</v>
      </c>
      <c r="E98" s="408">
        <f t="shared" si="23"/>
        <v>1549</v>
      </c>
      <c r="F98" s="408">
        <v>934</v>
      </c>
      <c r="G98" s="409">
        <v>19.03</v>
      </c>
      <c r="H98" s="409">
        <v>9.5500000000000007</v>
      </c>
      <c r="I98" s="409">
        <f t="shared" si="30"/>
        <v>1617.5499999999981</v>
      </c>
      <c r="J98" s="409">
        <f t="shared" si="30"/>
        <v>811.74999999999898</v>
      </c>
      <c r="K98" s="410">
        <f t="shared" si="22"/>
        <v>28.58</v>
      </c>
      <c r="L98" s="411">
        <f t="shared" si="24"/>
        <v>2400.7199999999971</v>
      </c>
      <c r="M98" s="412"/>
      <c r="N98" s="412"/>
      <c r="O98" s="434">
        <f t="shared" si="29"/>
        <v>28.58</v>
      </c>
      <c r="P98" s="435">
        <f t="shared" si="28"/>
        <v>2390.6159999999973</v>
      </c>
      <c r="Q98" s="412"/>
      <c r="R98" s="406">
        <v>2109</v>
      </c>
      <c r="S98" s="436">
        <f t="shared" si="25"/>
        <v>0</v>
      </c>
      <c r="T98" s="436">
        <f t="shared" si="26"/>
        <v>0</v>
      </c>
      <c r="U98" s="437">
        <f t="shared" si="27"/>
        <v>0</v>
      </c>
    </row>
    <row r="99" spans="1:21" s="389" customFormat="1" ht="18.75" customHeight="1">
      <c r="A99" s="390"/>
      <c r="B99" s="406">
        <v>2110</v>
      </c>
      <c r="C99" s="407">
        <f t="shared" si="19"/>
        <v>9.3795224860275996E-3</v>
      </c>
      <c r="D99" s="408">
        <f t="shared" si="20"/>
        <v>165147</v>
      </c>
      <c r="E99" s="408">
        <f t="shared" si="23"/>
        <v>1549</v>
      </c>
      <c r="F99" s="408">
        <v>934</v>
      </c>
      <c r="G99" s="409">
        <v>19.03</v>
      </c>
      <c r="H99" s="409">
        <v>9.5500000000000007</v>
      </c>
      <c r="I99" s="409">
        <f t="shared" si="30"/>
        <v>1636.5799999999981</v>
      </c>
      <c r="J99" s="409">
        <f t="shared" si="30"/>
        <v>821.29999999999893</v>
      </c>
      <c r="K99" s="410">
        <f t="shared" si="22"/>
        <v>28.58</v>
      </c>
      <c r="L99" s="411">
        <f t="shared" si="24"/>
        <v>2429.299999999997</v>
      </c>
      <c r="M99" s="412"/>
      <c r="N99" s="412"/>
      <c r="O99" s="434">
        <f t="shared" si="29"/>
        <v>28.58</v>
      </c>
      <c r="P99" s="435">
        <f t="shared" si="28"/>
        <v>2419.1959999999972</v>
      </c>
      <c r="Q99" s="412"/>
      <c r="R99" s="406">
        <v>2110</v>
      </c>
      <c r="S99" s="436">
        <f t="shared" si="25"/>
        <v>0</v>
      </c>
      <c r="T99" s="436">
        <f t="shared" si="26"/>
        <v>0</v>
      </c>
      <c r="U99" s="437">
        <f t="shared" si="27"/>
        <v>0</v>
      </c>
    </row>
    <row r="100" spans="1:21" s="389" customFormat="1" ht="18.75" customHeight="1">
      <c r="A100" s="390"/>
      <c r="B100" s="406">
        <v>2111</v>
      </c>
      <c r="C100" s="407">
        <f t="shared" si="19"/>
        <v>9.2923645438402844E-3</v>
      </c>
      <c r="D100" s="408">
        <f t="shared" si="20"/>
        <v>166696</v>
      </c>
      <c r="E100" s="408">
        <f t="shared" si="23"/>
        <v>1549</v>
      </c>
      <c r="F100" s="408">
        <v>934</v>
      </c>
      <c r="G100" s="409">
        <v>19.03</v>
      </c>
      <c r="H100" s="409">
        <v>9.5500000000000007</v>
      </c>
      <c r="I100" s="409">
        <f t="shared" si="30"/>
        <v>1655.6099999999981</v>
      </c>
      <c r="J100" s="409">
        <f t="shared" si="30"/>
        <v>830.84999999999889</v>
      </c>
      <c r="K100" s="410">
        <f t="shared" si="22"/>
        <v>28.58</v>
      </c>
      <c r="L100" s="411">
        <f t="shared" si="24"/>
        <v>2457.8799999999969</v>
      </c>
      <c r="M100" s="412"/>
      <c r="N100" s="412"/>
      <c r="O100" s="434">
        <f t="shared" si="29"/>
        <v>28.58</v>
      </c>
      <c r="P100" s="435">
        <f t="shared" si="28"/>
        <v>2447.7759999999971</v>
      </c>
      <c r="Q100" s="412"/>
      <c r="R100" s="406">
        <v>2111</v>
      </c>
      <c r="S100" s="436">
        <f t="shared" si="25"/>
        <v>0</v>
      </c>
      <c r="T100" s="436">
        <f t="shared" si="26"/>
        <v>0</v>
      </c>
      <c r="U100" s="437">
        <f t="shared" si="27"/>
        <v>0</v>
      </c>
    </row>
    <row r="101" spans="1:21" s="389" customFormat="1" ht="18.75" customHeight="1">
      <c r="A101" s="390"/>
      <c r="B101" s="406">
        <v>2112</v>
      </c>
      <c r="C101" s="407">
        <f t="shared" si="19"/>
        <v>9.2068114951410138E-3</v>
      </c>
      <c r="D101" s="408">
        <f t="shared" si="20"/>
        <v>168245</v>
      </c>
      <c r="E101" s="408">
        <f t="shared" si="23"/>
        <v>1549</v>
      </c>
      <c r="F101" s="408">
        <v>934</v>
      </c>
      <c r="G101" s="409">
        <v>19.03</v>
      </c>
      <c r="H101" s="409">
        <v>9.5500000000000007</v>
      </c>
      <c r="I101" s="409">
        <f t="shared" si="30"/>
        <v>1674.6399999999981</v>
      </c>
      <c r="J101" s="409">
        <f t="shared" si="30"/>
        <v>840.39999999999884</v>
      </c>
      <c r="K101" s="410">
        <f t="shared" si="22"/>
        <v>28.58</v>
      </c>
      <c r="L101" s="411">
        <f t="shared" si="24"/>
        <v>2486.4599999999969</v>
      </c>
      <c r="M101" s="412"/>
      <c r="N101" s="412"/>
      <c r="O101" s="434">
        <f t="shared" si="29"/>
        <v>28.58</v>
      </c>
      <c r="P101" s="435">
        <f t="shared" si="28"/>
        <v>2476.355999999997</v>
      </c>
      <c r="Q101" s="412"/>
      <c r="R101" s="406">
        <v>2112</v>
      </c>
      <c r="S101" s="436">
        <f t="shared" si="25"/>
        <v>0</v>
      </c>
      <c r="T101" s="436">
        <f t="shared" si="26"/>
        <v>0</v>
      </c>
      <c r="U101" s="437">
        <f t="shared" si="27"/>
        <v>0</v>
      </c>
    </row>
    <row r="102" spans="1:21" s="389" customFormat="1" ht="18.75" customHeight="1">
      <c r="A102" s="390"/>
      <c r="B102" s="406">
        <v>2113</v>
      </c>
      <c r="C102" s="407">
        <f t="shared" si="19"/>
        <v>9.1228194164693684E-3</v>
      </c>
      <c r="D102" s="408">
        <f t="shared" si="20"/>
        <v>169794</v>
      </c>
      <c r="E102" s="408">
        <f t="shared" si="23"/>
        <v>1549</v>
      </c>
      <c r="F102" s="408">
        <v>934</v>
      </c>
      <c r="G102" s="409">
        <v>19.03</v>
      </c>
      <c r="H102" s="409">
        <v>9.5500000000000007</v>
      </c>
      <c r="I102" s="409">
        <f t="shared" si="30"/>
        <v>1693.669999999998</v>
      </c>
      <c r="J102" s="409">
        <f t="shared" si="30"/>
        <v>849.94999999999879</v>
      </c>
      <c r="K102" s="410">
        <f t="shared" si="22"/>
        <v>28.58</v>
      </c>
      <c r="L102" s="411">
        <f t="shared" si="24"/>
        <v>2515.0399999999968</v>
      </c>
      <c r="M102" s="412"/>
      <c r="N102" s="412"/>
      <c r="O102" s="434">
        <f t="shared" si="29"/>
        <v>28.58</v>
      </c>
      <c r="P102" s="435">
        <f t="shared" si="28"/>
        <v>2504.935999999997</v>
      </c>
      <c r="Q102" s="412"/>
      <c r="R102" s="406">
        <v>2113</v>
      </c>
      <c r="S102" s="436">
        <f t="shared" si="25"/>
        <v>0</v>
      </c>
      <c r="T102" s="436">
        <f t="shared" si="26"/>
        <v>0</v>
      </c>
      <c r="U102" s="437">
        <f t="shared" si="27"/>
        <v>0</v>
      </c>
    </row>
    <row r="103" spans="1:21" s="389" customFormat="1" ht="18.75" customHeight="1">
      <c r="A103" s="390"/>
      <c r="B103" s="406">
        <v>2114</v>
      </c>
      <c r="C103" s="407">
        <f t="shared" si="19"/>
        <v>9.0403459726980384E-3</v>
      </c>
      <c r="D103" s="408">
        <f t="shared" si="20"/>
        <v>171343</v>
      </c>
      <c r="E103" s="408">
        <f t="shared" si="23"/>
        <v>1549</v>
      </c>
      <c r="F103" s="408">
        <v>934</v>
      </c>
      <c r="G103" s="409">
        <v>19.03</v>
      </c>
      <c r="H103" s="409">
        <v>9.5500000000000007</v>
      </c>
      <c r="I103" s="409">
        <f t="shared" si="30"/>
        <v>1712.699999999998</v>
      </c>
      <c r="J103" s="409">
        <f t="shared" si="30"/>
        <v>859.49999999999875</v>
      </c>
      <c r="K103" s="410">
        <f t="shared" si="22"/>
        <v>28.58</v>
      </c>
      <c r="L103" s="411">
        <f t="shared" si="24"/>
        <v>2543.6199999999967</v>
      </c>
      <c r="M103" s="412"/>
      <c r="N103" s="412"/>
      <c r="O103" s="434">
        <f t="shared" si="29"/>
        <v>28.58</v>
      </c>
      <c r="P103" s="435">
        <f t="shared" si="28"/>
        <v>2533.5159999999969</v>
      </c>
      <c r="Q103" s="412"/>
      <c r="R103" s="406">
        <v>2114</v>
      </c>
      <c r="S103" s="436">
        <f t="shared" si="25"/>
        <v>0</v>
      </c>
      <c r="T103" s="436">
        <f t="shared" si="26"/>
        <v>0</v>
      </c>
      <c r="U103" s="437">
        <f t="shared" si="27"/>
        <v>0</v>
      </c>
    </row>
    <row r="104" spans="1:21" s="389" customFormat="1" ht="18.75" customHeight="1">
      <c r="A104" s="390"/>
      <c r="B104" s="406">
        <v>2115</v>
      </c>
      <c r="C104" s="407">
        <f t="shared" si="19"/>
        <v>8.9593503458806657E-3</v>
      </c>
      <c r="D104" s="408">
        <f t="shared" si="20"/>
        <v>172892</v>
      </c>
      <c r="E104" s="408">
        <f t="shared" si="23"/>
        <v>1549</v>
      </c>
      <c r="F104" s="408">
        <v>934</v>
      </c>
      <c r="G104" s="409">
        <v>19.03</v>
      </c>
      <c r="H104" s="409">
        <v>9.5500000000000007</v>
      </c>
      <c r="I104" s="409">
        <f t="shared" si="30"/>
        <v>1731.729999999998</v>
      </c>
      <c r="J104" s="409">
        <f t="shared" si="30"/>
        <v>869.0499999999987</v>
      </c>
      <c r="K104" s="410">
        <f t="shared" si="22"/>
        <v>28.58</v>
      </c>
      <c r="L104" s="411">
        <f t="shared" si="24"/>
        <v>2572.1999999999966</v>
      </c>
      <c r="M104" s="412"/>
      <c r="N104" s="412"/>
      <c r="O104" s="434">
        <f t="shared" si="29"/>
        <v>28.58</v>
      </c>
      <c r="P104" s="435">
        <f t="shared" si="28"/>
        <v>2562.0959999999968</v>
      </c>
      <c r="Q104" s="412"/>
      <c r="R104" s="406">
        <v>2115</v>
      </c>
      <c r="S104" s="436">
        <f t="shared" si="25"/>
        <v>0</v>
      </c>
      <c r="T104" s="436">
        <f t="shared" si="26"/>
        <v>0</v>
      </c>
      <c r="U104" s="437">
        <f t="shared" si="27"/>
        <v>0</v>
      </c>
    </row>
    <row r="105" spans="1:21" s="389" customFormat="1" ht="18.75" customHeight="1">
      <c r="A105" s="390"/>
      <c r="B105" s="406">
        <v>2116</v>
      </c>
      <c r="C105" s="407">
        <f t="shared" si="19"/>
        <v>8.8797931678905768E-3</v>
      </c>
      <c r="D105" s="408">
        <f t="shared" si="20"/>
        <v>174441</v>
      </c>
      <c r="E105" s="408">
        <f t="shared" si="23"/>
        <v>1549</v>
      </c>
      <c r="F105" s="408">
        <v>934</v>
      </c>
      <c r="G105" s="409">
        <v>19.03</v>
      </c>
      <c r="H105" s="409">
        <v>9.5500000000000007</v>
      </c>
      <c r="I105" s="409">
        <f t="shared" si="30"/>
        <v>1750.7599999999979</v>
      </c>
      <c r="J105" s="409">
        <f t="shared" si="30"/>
        <v>878.59999999999866</v>
      </c>
      <c r="K105" s="410">
        <f t="shared" si="22"/>
        <v>28.58</v>
      </c>
      <c r="L105" s="411">
        <f t="shared" si="24"/>
        <v>2600.7799999999966</v>
      </c>
      <c r="M105" s="412"/>
      <c r="N105" s="412"/>
      <c r="O105" s="434">
        <f t="shared" si="29"/>
        <v>28.58</v>
      </c>
      <c r="P105" s="435">
        <f t="shared" si="28"/>
        <v>2590.6759999999967</v>
      </c>
      <c r="Q105" s="412"/>
      <c r="R105" s="406">
        <v>2116</v>
      </c>
      <c r="S105" s="436">
        <f t="shared" si="25"/>
        <v>0</v>
      </c>
      <c r="T105" s="436">
        <f t="shared" si="26"/>
        <v>0</v>
      </c>
      <c r="U105" s="437">
        <f t="shared" si="27"/>
        <v>0</v>
      </c>
    </row>
    <row r="106" spans="1:21" s="389" customFormat="1" ht="18.75" customHeight="1">
      <c r="A106" s="390"/>
      <c r="B106" s="406">
        <v>2117</v>
      </c>
      <c r="C106" s="407">
        <f t="shared" si="19"/>
        <v>8.8016364566168535E-3</v>
      </c>
      <c r="D106" s="408">
        <f t="shared" si="20"/>
        <v>175990</v>
      </c>
      <c r="E106" s="408">
        <f t="shared" si="23"/>
        <v>1549</v>
      </c>
      <c r="F106" s="408">
        <v>934</v>
      </c>
      <c r="G106" s="409">
        <v>19.03</v>
      </c>
      <c r="H106" s="409">
        <v>9.5500000000000007</v>
      </c>
      <c r="I106" s="409">
        <f t="shared" si="30"/>
        <v>1769.7899999999979</v>
      </c>
      <c r="J106" s="409">
        <f t="shared" si="30"/>
        <v>888.14999999999861</v>
      </c>
      <c r="K106" s="410">
        <f t="shared" si="22"/>
        <v>28.58</v>
      </c>
      <c r="L106" s="411">
        <f t="shared" si="24"/>
        <v>2629.3599999999965</v>
      </c>
      <c r="M106" s="412"/>
      <c r="N106" s="412"/>
      <c r="O106" s="434">
        <f t="shared" si="29"/>
        <v>28.58</v>
      </c>
      <c r="P106" s="435">
        <f t="shared" si="28"/>
        <v>2619.2559999999967</v>
      </c>
      <c r="Q106" s="412"/>
      <c r="R106" s="406">
        <v>2117</v>
      </c>
      <c r="S106" s="436">
        <f t="shared" si="25"/>
        <v>0</v>
      </c>
      <c r="T106" s="436">
        <f t="shared" si="26"/>
        <v>0</v>
      </c>
      <c r="U106" s="437">
        <f t="shared" si="27"/>
        <v>0</v>
      </c>
    </row>
    <row r="107" spans="1:21" s="389" customFormat="1" ht="18.75" customHeight="1">
      <c r="A107" s="390"/>
      <c r="B107" s="406">
        <v>2118</v>
      </c>
      <c r="C107" s="407">
        <f t="shared" si="19"/>
        <v>8.7248435555004819E-3</v>
      </c>
      <c r="D107" s="408">
        <f t="shared" si="20"/>
        <v>177539</v>
      </c>
      <c r="E107" s="408">
        <f t="shared" si="23"/>
        <v>1549</v>
      </c>
      <c r="F107" s="408">
        <v>934</v>
      </c>
      <c r="G107" s="409">
        <v>19.03</v>
      </c>
      <c r="H107" s="409">
        <v>9.5500000000000007</v>
      </c>
      <c r="I107" s="409">
        <f t="shared" si="30"/>
        <v>1788.8199999999979</v>
      </c>
      <c r="J107" s="409">
        <f t="shared" si="30"/>
        <v>897.69999999999857</v>
      </c>
      <c r="K107" s="410">
        <f t="shared" si="22"/>
        <v>28.58</v>
      </c>
      <c r="L107" s="411">
        <f t="shared" si="24"/>
        <v>2657.9399999999964</v>
      </c>
      <c r="M107" s="412"/>
      <c r="N107" s="412"/>
      <c r="O107" s="434">
        <f t="shared" si="29"/>
        <v>28.58</v>
      </c>
      <c r="P107" s="435">
        <f t="shared" si="28"/>
        <v>2647.8359999999966</v>
      </c>
      <c r="Q107" s="412"/>
      <c r="R107" s="406">
        <v>2118</v>
      </c>
      <c r="S107" s="436">
        <f t="shared" si="25"/>
        <v>0</v>
      </c>
      <c r="T107" s="436">
        <f t="shared" si="26"/>
        <v>0</v>
      </c>
      <c r="U107" s="437">
        <f t="shared" si="27"/>
        <v>0</v>
      </c>
    </row>
    <row r="108" spans="1:21" s="389" customFormat="1" ht="18.75" customHeight="1">
      <c r="A108" s="390"/>
      <c r="B108" s="406">
        <v>2119</v>
      </c>
      <c r="C108" s="407">
        <f t="shared" si="19"/>
        <v>8.6493790762083439E-3</v>
      </c>
      <c r="D108" s="408">
        <f t="shared" si="20"/>
        <v>179088</v>
      </c>
      <c r="E108" s="408">
        <f t="shared" si="23"/>
        <v>1549</v>
      </c>
      <c r="F108" s="408">
        <v>934</v>
      </c>
      <c r="G108" s="409">
        <v>19.03</v>
      </c>
      <c r="H108" s="409">
        <v>9.5500000000000007</v>
      </c>
      <c r="I108" s="409">
        <f t="shared" si="30"/>
        <v>1807.8499999999979</v>
      </c>
      <c r="J108" s="409">
        <f t="shared" si="30"/>
        <v>907.24999999999852</v>
      </c>
      <c r="K108" s="410">
        <f t="shared" si="22"/>
        <v>28.58</v>
      </c>
      <c r="L108" s="411">
        <f t="shared" si="24"/>
        <v>2686.5199999999963</v>
      </c>
      <c r="M108" s="412"/>
      <c r="N108" s="412"/>
      <c r="O108" s="434">
        <f t="shared" si="29"/>
        <v>28.58</v>
      </c>
      <c r="P108" s="435">
        <f t="shared" si="28"/>
        <v>2676.4159999999965</v>
      </c>
      <c r="Q108" s="412"/>
      <c r="R108" s="406">
        <v>2119</v>
      </c>
      <c r="S108" s="436">
        <f t="shared" si="25"/>
        <v>0</v>
      </c>
      <c r="T108" s="436">
        <f t="shared" si="26"/>
        <v>0</v>
      </c>
      <c r="U108" s="437">
        <f t="shared" si="27"/>
        <v>0</v>
      </c>
    </row>
    <row r="109" spans="1:21" s="389" customFormat="1" ht="18.75" customHeight="1">
      <c r="A109" s="390"/>
      <c r="B109" s="406">
        <v>2120</v>
      </c>
      <c r="C109" s="407">
        <f t="shared" si="19"/>
        <v>8.575208844256714E-3</v>
      </c>
      <c r="D109" s="408">
        <f t="shared" si="20"/>
        <v>180637</v>
      </c>
      <c r="E109" s="408">
        <f t="shared" si="23"/>
        <v>1549</v>
      </c>
      <c r="F109" s="408">
        <v>934</v>
      </c>
      <c r="G109" s="409">
        <v>19.03</v>
      </c>
      <c r="H109" s="409">
        <v>9.5500000000000007</v>
      </c>
      <c r="I109" s="409">
        <f t="shared" si="30"/>
        <v>1826.8799999999978</v>
      </c>
      <c r="J109" s="409">
        <f t="shared" si="30"/>
        <v>916.79999999999848</v>
      </c>
      <c r="K109" s="410">
        <f t="shared" si="22"/>
        <v>28.58</v>
      </c>
      <c r="L109" s="411">
        <f t="shared" si="24"/>
        <v>2715.0999999999963</v>
      </c>
      <c r="M109" s="412"/>
      <c r="N109" s="412"/>
      <c r="O109" s="434">
        <f t="shared" si="29"/>
        <v>28.58</v>
      </c>
      <c r="P109" s="435">
        <f t="shared" si="28"/>
        <v>2704.9959999999965</v>
      </c>
      <c r="Q109" s="412"/>
      <c r="R109" s="406">
        <v>2120</v>
      </c>
      <c r="S109" s="436">
        <f t="shared" si="25"/>
        <v>0</v>
      </c>
      <c r="T109" s="436">
        <f t="shared" si="26"/>
        <v>0</v>
      </c>
      <c r="U109" s="437">
        <f t="shared" si="27"/>
        <v>0</v>
      </c>
    </row>
    <row r="110" spans="1:21" s="389" customFormat="1" ht="18.75" customHeight="1">
      <c r="A110" s="390"/>
      <c r="B110" s="406">
        <v>2121</v>
      </c>
      <c r="C110" s="407">
        <f t="shared" si="19"/>
        <v>8.5022998474086914E-3</v>
      </c>
      <c r="D110" s="408">
        <f t="shared" si="20"/>
        <v>182186</v>
      </c>
      <c r="E110" s="408">
        <f t="shared" si="23"/>
        <v>1549</v>
      </c>
      <c r="F110" s="408">
        <v>934</v>
      </c>
      <c r="G110" s="409">
        <v>19.03</v>
      </c>
      <c r="H110" s="409">
        <v>9.5500000000000007</v>
      </c>
      <c r="I110" s="409">
        <f t="shared" ref="I110:J124" si="31">+G110+I109</f>
        <v>1845.9099999999978</v>
      </c>
      <c r="J110" s="409">
        <f t="shared" si="31"/>
        <v>926.34999999999843</v>
      </c>
      <c r="K110" s="410">
        <f t="shared" si="22"/>
        <v>28.58</v>
      </c>
      <c r="L110" s="411">
        <f t="shared" si="24"/>
        <v>2743.6799999999962</v>
      </c>
      <c r="M110" s="412"/>
      <c r="N110" s="412"/>
      <c r="O110" s="434">
        <f t="shared" si="29"/>
        <v>28.58</v>
      </c>
      <c r="P110" s="435">
        <f t="shared" si="28"/>
        <v>2733.5759999999964</v>
      </c>
      <c r="Q110" s="412"/>
      <c r="R110" s="406">
        <v>2121</v>
      </c>
      <c r="S110" s="436">
        <f t="shared" si="25"/>
        <v>0</v>
      </c>
      <c r="T110" s="436">
        <f t="shared" si="26"/>
        <v>0</v>
      </c>
      <c r="U110" s="437">
        <f t="shared" si="27"/>
        <v>0</v>
      </c>
    </row>
    <row r="111" spans="1:21" s="389" customFormat="1" ht="18.75" customHeight="1">
      <c r="A111" s="390"/>
      <c r="B111" s="406">
        <v>2122</v>
      </c>
      <c r="C111" s="407">
        <f t="shared" si="19"/>
        <v>8.4306201866819058E-3</v>
      </c>
      <c r="D111" s="408">
        <f t="shared" si="20"/>
        <v>183735</v>
      </c>
      <c r="E111" s="408">
        <f t="shared" si="23"/>
        <v>1549</v>
      </c>
      <c r="F111" s="408">
        <v>934</v>
      </c>
      <c r="G111" s="409">
        <v>19.03</v>
      </c>
      <c r="H111" s="409">
        <v>9.5500000000000007</v>
      </c>
      <c r="I111" s="409">
        <f t="shared" si="31"/>
        <v>1864.9399999999978</v>
      </c>
      <c r="J111" s="409">
        <f t="shared" si="31"/>
        <v>935.89999999999839</v>
      </c>
      <c r="K111" s="410">
        <f t="shared" si="22"/>
        <v>28.58</v>
      </c>
      <c r="L111" s="411">
        <f t="shared" si="24"/>
        <v>2772.2599999999961</v>
      </c>
      <c r="M111" s="412"/>
      <c r="N111" s="412"/>
      <c r="O111" s="434">
        <f t="shared" si="29"/>
        <v>28.58</v>
      </c>
      <c r="P111" s="435">
        <f t="shared" si="28"/>
        <v>2762.1559999999963</v>
      </c>
      <c r="Q111" s="412"/>
      <c r="R111" s="406">
        <v>2122</v>
      </c>
      <c r="S111" s="436">
        <f t="shared" ref="S111:S124" si="32">IF($S$14&gt;$P111,$O111,IF($S$14-$P110&gt;0,$S$14-$P110,0))</f>
        <v>0</v>
      </c>
      <c r="T111" s="436">
        <f t="shared" ref="T111:T124" si="33">IF($T$14&gt;$P111,$O111,IF($T$14-$P110&gt;0,$T$14-$P110,0))</f>
        <v>0</v>
      </c>
      <c r="U111" s="437">
        <f t="shared" ref="U111:U124" si="34">IF($U$14&gt;$P111,$O111,IF($U$14-$P110&gt;0,$U$14-$P110,0))</f>
        <v>0</v>
      </c>
    </row>
    <row r="112" spans="1:21" s="389" customFormat="1" ht="18.75" customHeight="1">
      <c r="A112" s="390"/>
      <c r="B112" s="406">
        <v>2123</v>
      </c>
      <c r="C112" s="407">
        <f t="shared" si="19"/>
        <v>8.3601390298136923E-3</v>
      </c>
      <c r="D112" s="408">
        <f t="shared" si="20"/>
        <v>185284</v>
      </c>
      <c r="E112" s="408">
        <f t="shared" si="23"/>
        <v>1549</v>
      </c>
      <c r="F112" s="408">
        <v>934</v>
      </c>
      <c r="G112" s="409">
        <v>19.03</v>
      </c>
      <c r="H112" s="409">
        <v>9.5500000000000007</v>
      </c>
      <c r="I112" s="409">
        <f t="shared" si="31"/>
        <v>1883.9699999999978</v>
      </c>
      <c r="J112" s="409">
        <f t="shared" si="31"/>
        <v>945.44999999999834</v>
      </c>
      <c r="K112" s="410">
        <f t="shared" si="22"/>
        <v>28.58</v>
      </c>
      <c r="L112" s="411">
        <f t="shared" si="24"/>
        <v>2800.8399999999961</v>
      </c>
      <c r="M112" s="412"/>
      <c r="N112" s="412"/>
      <c r="O112" s="434">
        <f t="shared" si="29"/>
        <v>28.58</v>
      </c>
      <c r="P112" s="435">
        <f t="shared" ref="P112:P124" si="35">O112+P111</f>
        <v>2790.7359999999962</v>
      </c>
      <c r="Q112" s="412"/>
      <c r="R112" s="406">
        <v>2123</v>
      </c>
      <c r="S112" s="436">
        <f t="shared" si="32"/>
        <v>0</v>
      </c>
      <c r="T112" s="436">
        <f t="shared" si="33"/>
        <v>0</v>
      </c>
      <c r="U112" s="437">
        <f t="shared" si="34"/>
        <v>0</v>
      </c>
    </row>
    <row r="113" spans="1:21" s="389" customFormat="1" ht="18.75" customHeight="1">
      <c r="A113" s="390"/>
      <c r="B113" s="406">
        <v>2124</v>
      </c>
      <c r="C113" s="407">
        <f t="shared" si="19"/>
        <v>8.2908265670411548E-3</v>
      </c>
      <c r="D113" s="408">
        <f t="shared" si="20"/>
        <v>186833</v>
      </c>
      <c r="E113" s="408">
        <f t="shared" si="23"/>
        <v>1549</v>
      </c>
      <c r="F113" s="408">
        <v>934</v>
      </c>
      <c r="G113" s="409">
        <v>19.03</v>
      </c>
      <c r="H113" s="409">
        <v>9.5500000000000007</v>
      </c>
      <c r="I113" s="409">
        <f t="shared" si="31"/>
        <v>1902.9999999999977</v>
      </c>
      <c r="J113" s="409">
        <f t="shared" si="31"/>
        <v>954.99999999999829</v>
      </c>
      <c r="K113" s="410">
        <f t="shared" si="22"/>
        <v>28.58</v>
      </c>
      <c r="L113" s="411">
        <f t="shared" si="24"/>
        <v>2829.419999999996</v>
      </c>
      <c r="M113" s="412"/>
      <c r="N113" s="412"/>
      <c r="O113" s="434">
        <f t="shared" si="29"/>
        <v>28.58</v>
      </c>
      <c r="P113" s="435">
        <f t="shared" si="35"/>
        <v>2819.3159999999962</v>
      </c>
      <c r="Q113" s="412"/>
      <c r="R113" s="406">
        <v>2124</v>
      </c>
      <c r="S113" s="436">
        <f t="shared" si="32"/>
        <v>0</v>
      </c>
      <c r="T113" s="436">
        <f t="shared" si="33"/>
        <v>0</v>
      </c>
      <c r="U113" s="437">
        <f t="shared" si="34"/>
        <v>0</v>
      </c>
    </row>
    <row r="114" spans="1:21" s="389" customFormat="1" ht="18.75" customHeight="1">
      <c r="A114" s="390"/>
      <c r="B114" s="406">
        <v>2125</v>
      </c>
      <c r="C114" s="407">
        <f t="shared" si="19"/>
        <v>8.2226539690628611E-3</v>
      </c>
      <c r="D114" s="408">
        <f t="shared" si="20"/>
        <v>188382</v>
      </c>
      <c r="E114" s="408">
        <f t="shared" si="23"/>
        <v>1549</v>
      </c>
      <c r="F114" s="408">
        <v>934</v>
      </c>
      <c r="G114" s="409">
        <v>19.03</v>
      </c>
      <c r="H114" s="409">
        <v>9.5500000000000007</v>
      </c>
      <c r="I114" s="409">
        <f t="shared" si="31"/>
        <v>1922.0299999999977</v>
      </c>
      <c r="J114" s="409">
        <f t="shared" si="31"/>
        <v>964.54999999999825</v>
      </c>
      <c r="K114" s="410">
        <f t="shared" si="22"/>
        <v>28.58</v>
      </c>
      <c r="L114" s="411">
        <f t="shared" si="24"/>
        <v>2857.9999999999959</v>
      </c>
      <c r="M114" s="412"/>
      <c r="N114" s="412"/>
      <c r="O114" s="434">
        <f t="shared" si="29"/>
        <v>28.58</v>
      </c>
      <c r="P114" s="435">
        <f t="shared" si="35"/>
        <v>2847.8959999999961</v>
      </c>
      <c r="Q114" s="412"/>
      <c r="R114" s="406">
        <v>2125</v>
      </c>
      <c r="S114" s="436">
        <f t="shared" si="32"/>
        <v>0</v>
      </c>
      <c r="T114" s="436">
        <f t="shared" si="33"/>
        <v>0</v>
      </c>
      <c r="U114" s="437">
        <f t="shared" si="34"/>
        <v>0</v>
      </c>
    </row>
    <row r="115" spans="1:21" s="389" customFormat="1" ht="18.75" customHeight="1">
      <c r="A115" s="390"/>
      <c r="B115" s="406">
        <v>2126</v>
      </c>
      <c r="C115" s="407">
        <f t="shared" si="19"/>
        <v>8.1555933470576162E-3</v>
      </c>
      <c r="D115" s="408">
        <f t="shared" si="20"/>
        <v>189931</v>
      </c>
      <c r="E115" s="408">
        <f t="shared" si="23"/>
        <v>1549</v>
      </c>
      <c r="F115" s="408">
        <v>934</v>
      </c>
      <c r="G115" s="409">
        <v>19.03</v>
      </c>
      <c r="H115" s="409">
        <v>9.5500000000000007</v>
      </c>
      <c r="I115" s="409">
        <f t="shared" si="31"/>
        <v>1941.0599999999977</v>
      </c>
      <c r="J115" s="409">
        <f t="shared" si="31"/>
        <v>974.0999999999982</v>
      </c>
      <c r="K115" s="410">
        <f t="shared" si="22"/>
        <v>28.58</v>
      </c>
      <c r="L115" s="411">
        <f t="shared" si="24"/>
        <v>2886.5799999999958</v>
      </c>
      <c r="M115" s="412"/>
      <c r="N115" s="412"/>
      <c r="O115" s="434">
        <f t="shared" si="29"/>
        <v>28.58</v>
      </c>
      <c r="P115" s="435">
        <f t="shared" si="35"/>
        <v>2876.475999999996</v>
      </c>
      <c r="Q115" s="412"/>
      <c r="R115" s="406">
        <v>2126</v>
      </c>
      <c r="S115" s="436">
        <f t="shared" si="32"/>
        <v>0</v>
      </c>
      <c r="T115" s="436">
        <f t="shared" si="33"/>
        <v>0</v>
      </c>
      <c r="U115" s="437">
        <f t="shared" si="34"/>
        <v>0</v>
      </c>
    </row>
    <row r="116" spans="1:21" s="389" customFormat="1" ht="18.75" customHeight="1">
      <c r="A116" s="390"/>
      <c r="B116" s="406">
        <v>2127</v>
      </c>
      <c r="C116" s="407">
        <f t="shared" si="19"/>
        <v>8.0896177146438271E-3</v>
      </c>
      <c r="D116" s="408">
        <f t="shared" si="20"/>
        <v>191480</v>
      </c>
      <c r="E116" s="408">
        <f t="shared" si="23"/>
        <v>1549</v>
      </c>
      <c r="F116" s="408">
        <v>934</v>
      </c>
      <c r="G116" s="409">
        <v>19.03</v>
      </c>
      <c r="H116" s="409">
        <v>9.5500000000000007</v>
      </c>
      <c r="I116" s="409">
        <f t="shared" si="31"/>
        <v>1960.0899999999976</v>
      </c>
      <c r="J116" s="409">
        <f t="shared" si="31"/>
        <v>983.64999999999816</v>
      </c>
      <c r="K116" s="410">
        <f t="shared" si="22"/>
        <v>28.58</v>
      </c>
      <c r="L116" s="411">
        <f t="shared" si="24"/>
        <v>2915.1599999999958</v>
      </c>
      <c r="M116" s="412"/>
      <c r="N116" s="412"/>
      <c r="O116" s="434">
        <f t="shared" si="29"/>
        <v>28.58</v>
      </c>
      <c r="P116" s="435">
        <f t="shared" si="35"/>
        <v>2905.0559999999959</v>
      </c>
      <c r="Q116" s="412"/>
      <c r="R116" s="406">
        <v>2127</v>
      </c>
      <c r="S116" s="436">
        <f t="shared" si="32"/>
        <v>0</v>
      </c>
      <c r="T116" s="436">
        <f t="shared" si="33"/>
        <v>0</v>
      </c>
      <c r="U116" s="437">
        <f t="shared" si="34"/>
        <v>0</v>
      </c>
    </row>
    <row r="117" spans="1:21" s="389" customFormat="1" ht="18.75" customHeight="1">
      <c r="A117" s="390"/>
      <c r="B117" s="406">
        <v>2128</v>
      </c>
      <c r="C117" s="407">
        <f t="shared" si="19"/>
        <v>8.0247009516704743E-3</v>
      </c>
      <c r="D117" s="408">
        <f t="shared" si="20"/>
        <v>193029</v>
      </c>
      <c r="E117" s="408">
        <f t="shared" si="23"/>
        <v>1549</v>
      </c>
      <c r="F117" s="408">
        <v>934</v>
      </c>
      <c r="G117" s="409">
        <v>19.03</v>
      </c>
      <c r="H117" s="409">
        <v>9.5500000000000007</v>
      </c>
      <c r="I117" s="409">
        <f t="shared" si="31"/>
        <v>1979.1199999999976</v>
      </c>
      <c r="J117" s="409">
        <f t="shared" si="31"/>
        <v>993.19999999999811</v>
      </c>
      <c r="K117" s="410">
        <f t="shared" si="22"/>
        <v>28.58</v>
      </c>
      <c r="L117" s="411">
        <f t="shared" si="24"/>
        <v>2943.7399999999957</v>
      </c>
      <c r="M117" s="412"/>
      <c r="N117" s="412"/>
      <c r="O117" s="434">
        <f t="shared" si="29"/>
        <v>28.58</v>
      </c>
      <c r="P117" s="435">
        <f t="shared" si="35"/>
        <v>2933.6359999999959</v>
      </c>
      <c r="Q117" s="412"/>
      <c r="R117" s="406">
        <v>2128</v>
      </c>
      <c r="S117" s="436">
        <f t="shared" si="32"/>
        <v>0</v>
      </c>
      <c r="T117" s="436">
        <f t="shared" si="33"/>
        <v>0</v>
      </c>
      <c r="U117" s="437">
        <f t="shared" si="34"/>
        <v>0</v>
      </c>
    </row>
    <row r="118" spans="1:21" s="389" customFormat="1" ht="18.75" customHeight="1">
      <c r="A118" s="390"/>
      <c r="B118" s="406">
        <v>2129</v>
      </c>
      <c r="C118" s="407">
        <f t="shared" si="19"/>
        <v>7.9608177697375864E-3</v>
      </c>
      <c r="D118" s="408">
        <f t="shared" si="20"/>
        <v>194578</v>
      </c>
      <c r="E118" s="408">
        <f t="shared" si="23"/>
        <v>1549</v>
      </c>
      <c r="F118" s="408">
        <v>934</v>
      </c>
      <c r="G118" s="409">
        <v>19.03</v>
      </c>
      <c r="H118" s="409">
        <v>9.5500000000000007</v>
      </c>
      <c r="I118" s="409">
        <f t="shared" si="31"/>
        <v>1998.1499999999976</v>
      </c>
      <c r="J118" s="409">
        <f t="shared" si="31"/>
        <v>1002.7499999999981</v>
      </c>
      <c r="K118" s="410">
        <f t="shared" si="22"/>
        <v>28.58</v>
      </c>
      <c r="L118" s="411">
        <f t="shared" si="24"/>
        <v>2972.3199999999956</v>
      </c>
      <c r="M118" s="412"/>
      <c r="N118" s="412"/>
      <c r="O118" s="434">
        <f t="shared" si="29"/>
        <v>28.58</v>
      </c>
      <c r="P118" s="435">
        <f t="shared" si="35"/>
        <v>2962.2159999999958</v>
      </c>
      <c r="Q118" s="412"/>
      <c r="R118" s="406">
        <v>2129</v>
      </c>
      <c r="S118" s="436">
        <f t="shared" si="32"/>
        <v>0</v>
      </c>
      <c r="T118" s="436">
        <f t="shared" si="33"/>
        <v>0</v>
      </c>
      <c r="U118" s="437">
        <f t="shared" si="34"/>
        <v>0</v>
      </c>
    </row>
    <row r="119" spans="1:21" s="389" customFormat="1" ht="18.75" customHeight="1">
      <c r="A119" s="390"/>
      <c r="B119" s="406">
        <v>2130</v>
      </c>
      <c r="C119" s="407">
        <f t="shared" si="19"/>
        <v>7.8979436793506254E-3</v>
      </c>
      <c r="D119" s="408">
        <f t="shared" si="20"/>
        <v>196127</v>
      </c>
      <c r="E119" s="408">
        <f t="shared" si="23"/>
        <v>1549</v>
      </c>
      <c r="F119" s="408">
        <v>934</v>
      </c>
      <c r="G119" s="409">
        <v>19.03</v>
      </c>
      <c r="H119" s="409">
        <v>9.5500000000000007</v>
      </c>
      <c r="I119" s="409">
        <f t="shared" si="31"/>
        <v>2017.1799999999976</v>
      </c>
      <c r="J119" s="409">
        <f t="shared" si="31"/>
        <v>1012.299999999998</v>
      </c>
      <c r="K119" s="410">
        <f t="shared" si="22"/>
        <v>28.58</v>
      </c>
      <c r="L119" s="411">
        <f t="shared" si="24"/>
        <v>3000.8999999999955</v>
      </c>
      <c r="M119" s="412"/>
      <c r="N119" s="412"/>
      <c r="O119" s="434">
        <f t="shared" si="29"/>
        <v>28.58</v>
      </c>
      <c r="P119" s="435">
        <f t="shared" si="35"/>
        <v>2990.7959999999957</v>
      </c>
      <c r="Q119" s="412"/>
      <c r="R119" s="406">
        <v>2130</v>
      </c>
      <c r="S119" s="436">
        <f t="shared" si="32"/>
        <v>0</v>
      </c>
      <c r="T119" s="436">
        <f t="shared" si="33"/>
        <v>0</v>
      </c>
      <c r="U119" s="437">
        <f t="shared" si="34"/>
        <v>0</v>
      </c>
    </row>
    <row r="120" spans="1:21" s="389" customFormat="1" ht="18.75" customHeight="1">
      <c r="A120" s="390"/>
      <c r="B120" s="406">
        <v>2131</v>
      </c>
      <c r="C120" s="407">
        <f t="shared" si="19"/>
        <v>7.8360549586191548E-3</v>
      </c>
      <c r="D120" s="408">
        <f t="shared" si="20"/>
        <v>197676</v>
      </c>
      <c r="E120" s="408">
        <f t="shared" si="23"/>
        <v>1549</v>
      </c>
      <c r="F120" s="408">
        <v>934</v>
      </c>
      <c r="G120" s="409">
        <v>19.03</v>
      </c>
      <c r="H120" s="409">
        <v>9.5500000000000007</v>
      </c>
      <c r="I120" s="409">
        <f t="shared" si="31"/>
        <v>2036.2099999999975</v>
      </c>
      <c r="J120" s="409">
        <f t="shared" si="31"/>
        <v>1021.849999999998</v>
      </c>
      <c r="K120" s="410">
        <f t="shared" si="22"/>
        <v>28.58</v>
      </c>
      <c r="L120" s="411">
        <f t="shared" si="24"/>
        <v>3029.4799999999955</v>
      </c>
      <c r="M120" s="412"/>
      <c r="N120" s="412"/>
      <c r="O120" s="434">
        <f t="shared" si="29"/>
        <v>28.58</v>
      </c>
      <c r="P120" s="435">
        <f t="shared" si="35"/>
        <v>3019.3759999999957</v>
      </c>
      <c r="Q120" s="412"/>
      <c r="R120" s="406">
        <v>2131</v>
      </c>
      <c r="S120" s="436">
        <f t="shared" si="32"/>
        <v>0</v>
      </c>
      <c r="T120" s="436">
        <f t="shared" si="33"/>
        <v>0</v>
      </c>
      <c r="U120" s="437">
        <f t="shared" si="34"/>
        <v>0</v>
      </c>
    </row>
    <row r="121" spans="1:21" s="389" customFormat="1" ht="18.75" customHeight="1">
      <c r="A121" s="390"/>
      <c r="B121" s="406">
        <v>2132</v>
      </c>
      <c r="C121" s="407">
        <f t="shared" si="19"/>
        <v>7.7751286234157358E-3</v>
      </c>
      <c r="D121" s="408">
        <f t="shared" si="20"/>
        <v>199225</v>
      </c>
      <c r="E121" s="408">
        <f t="shared" si="23"/>
        <v>1549</v>
      </c>
      <c r="F121" s="408">
        <v>934</v>
      </c>
      <c r="G121" s="409">
        <v>19.03</v>
      </c>
      <c r="H121" s="409">
        <v>9.5500000000000007</v>
      </c>
      <c r="I121" s="409">
        <f t="shared" si="31"/>
        <v>2055.2399999999975</v>
      </c>
      <c r="J121" s="409">
        <f t="shared" si="31"/>
        <v>1031.399999999998</v>
      </c>
      <c r="K121" s="410">
        <f t="shared" si="22"/>
        <v>28.58</v>
      </c>
      <c r="L121" s="411">
        <f t="shared" si="24"/>
        <v>3058.0599999999954</v>
      </c>
      <c r="M121" s="412"/>
      <c r="N121" s="412"/>
      <c r="O121" s="434">
        <f t="shared" si="29"/>
        <v>28.58</v>
      </c>
      <c r="P121" s="435">
        <f t="shared" si="35"/>
        <v>3047.9559999999956</v>
      </c>
      <c r="Q121" s="412"/>
      <c r="R121" s="406">
        <v>2132</v>
      </c>
      <c r="S121" s="436">
        <f t="shared" si="32"/>
        <v>0</v>
      </c>
      <c r="T121" s="436">
        <f t="shared" si="33"/>
        <v>0</v>
      </c>
      <c r="U121" s="437">
        <f t="shared" si="34"/>
        <v>0</v>
      </c>
    </row>
    <row r="122" spans="1:21" s="389" customFormat="1" ht="18.75" customHeight="1">
      <c r="A122" s="390"/>
      <c r="B122" s="406">
        <v>2133</v>
      </c>
      <c r="C122" s="407">
        <f t="shared" si="19"/>
        <v>7.7151423989161947E-3</v>
      </c>
      <c r="D122" s="408">
        <f t="shared" si="20"/>
        <v>200774</v>
      </c>
      <c r="E122" s="408">
        <f t="shared" si="23"/>
        <v>1549</v>
      </c>
      <c r="F122" s="408">
        <v>934</v>
      </c>
      <c r="G122" s="409">
        <v>19.03</v>
      </c>
      <c r="H122" s="409">
        <v>9.5500000000000007</v>
      </c>
      <c r="I122" s="409">
        <f t="shared" si="31"/>
        <v>2074.2699999999977</v>
      </c>
      <c r="J122" s="409">
        <f t="shared" si="31"/>
        <v>1040.949999999998</v>
      </c>
      <c r="K122" s="410">
        <f t="shared" si="22"/>
        <v>28.58</v>
      </c>
      <c r="L122" s="411">
        <f t="shared" si="24"/>
        <v>3086.6399999999953</v>
      </c>
      <c r="M122" s="412"/>
      <c r="N122" s="412"/>
      <c r="O122" s="434">
        <f t="shared" si="29"/>
        <v>28.58</v>
      </c>
      <c r="P122" s="435">
        <f t="shared" si="35"/>
        <v>3076.5359999999955</v>
      </c>
      <c r="Q122" s="412"/>
      <c r="R122" s="406">
        <v>2133</v>
      </c>
      <c r="S122" s="436">
        <f t="shared" si="32"/>
        <v>0</v>
      </c>
      <c r="T122" s="436">
        <f t="shared" si="33"/>
        <v>0</v>
      </c>
      <c r="U122" s="437">
        <f t="shared" si="34"/>
        <v>0</v>
      </c>
    </row>
    <row r="123" spans="1:21" s="389" customFormat="1" ht="18.75" customHeight="1">
      <c r="A123" s="390"/>
      <c r="B123" s="406">
        <v>2134</v>
      </c>
      <c r="C123" s="407">
        <f t="shared" si="19"/>
        <v>7.6560746924472251E-3</v>
      </c>
      <c r="D123" s="408">
        <f t="shared" si="20"/>
        <v>202323</v>
      </c>
      <c r="E123" s="408">
        <f t="shared" si="23"/>
        <v>1549</v>
      </c>
      <c r="F123" s="408">
        <v>934</v>
      </c>
      <c r="G123" s="409">
        <v>19.03</v>
      </c>
      <c r="H123" s="409">
        <v>9.5500000000000007</v>
      </c>
      <c r="I123" s="409">
        <f t="shared" si="31"/>
        <v>2093.2999999999979</v>
      </c>
      <c r="J123" s="409">
        <f t="shared" si="31"/>
        <v>1050.499999999998</v>
      </c>
      <c r="K123" s="410">
        <f t="shared" si="22"/>
        <v>28.58</v>
      </c>
      <c r="L123" s="411">
        <f t="shared" si="24"/>
        <v>3115.2199999999953</v>
      </c>
      <c r="M123" s="412"/>
      <c r="N123" s="412"/>
      <c r="O123" s="434">
        <f t="shared" si="29"/>
        <v>28.58</v>
      </c>
      <c r="P123" s="435">
        <f t="shared" si="35"/>
        <v>3105.1159999999954</v>
      </c>
      <c r="Q123" s="412"/>
      <c r="R123" s="406">
        <v>2134</v>
      </c>
      <c r="S123" s="436">
        <f t="shared" si="32"/>
        <v>0</v>
      </c>
      <c r="T123" s="436">
        <f t="shared" si="33"/>
        <v>0</v>
      </c>
      <c r="U123" s="437">
        <f t="shared" si="34"/>
        <v>0</v>
      </c>
    </row>
    <row r="124" spans="1:21" s="389" customFormat="1" ht="18.75" customHeight="1" thickBot="1">
      <c r="A124" s="390"/>
      <c r="B124" s="416">
        <v>2135</v>
      </c>
      <c r="C124" s="417" t="e">
        <f>(#REF!-D124)/D124</f>
        <v>#REF!</v>
      </c>
      <c r="D124" s="418">
        <f t="shared" si="20"/>
        <v>203872</v>
      </c>
      <c r="E124" s="418">
        <f t="shared" si="23"/>
        <v>1549</v>
      </c>
      <c r="F124" s="418">
        <v>934</v>
      </c>
      <c r="G124" s="419">
        <v>19.03</v>
      </c>
      <c r="H124" s="419">
        <v>9.5500000000000007</v>
      </c>
      <c r="I124" s="419">
        <f t="shared" si="31"/>
        <v>2112.3299999999981</v>
      </c>
      <c r="J124" s="419">
        <f t="shared" si="31"/>
        <v>1060.0499999999979</v>
      </c>
      <c r="K124" s="420">
        <f t="shared" si="22"/>
        <v>28.58</v>
      </c>
      <c r="L124" s="421">
        <f t="shared" si="24"/>
        <v>3143.7999999999952</v>
      </c>
      <c r="M124" s="412"/>
      <c r="N124" s="412"/>
      <c r="O124" s="460">
        <f t="shared" si="29"/>
        <v>28.58</v>
      </c>
      <c r="P124" s="461">
        <f t="shared" si="35"/>
        <v>3133.6959999999954</v>
      </c>
      <c r="Q124" s="412"/>
      <c r="R124" s="416">
        <v>2135</v>
      </c>
      <c r="S124" s="462">
        <f t="shared" si="32"/>
        <v>0</v>
      </c>
      <c r="T124" s="462">
        <f t="shared" si="33"/>
        <v>0</v>
      </c>
      <c r="U124" s="463">
        <f t="shared" si="34"/>
        <v>0</v>
      </c>
    </row>
  </sheetData>
  <mergeCells count="4">
    <mergeCell ref="B11:L11"/>
    <mergeCell ref="O12:P12"/>
    <mergeCell ref="R11:U11"/>
    <mergeCell ref="O11:P1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AF597-707E-4ED9-8DA8-5946F1BB80BC}">
  <sheetPr codeName="Sheet50">
    <tabColor theme="4" tint="0.39997558519241921"/>
    <pageSetUpPr fitToPage="1"/>
  </sheetPr>
  <dimension ref="B1:N21"/>
  <sheetViews>
    <sheetView showGridLines="0" zoomScaleNormal="100" workbookViewId="0">
      <selection activeCell="F25" sqref="F25"/>
    </sheetView>
  </sheetViews>
  <sheetFormatPr defaultColWidth="9.109375" defaultRowHeight="12"/>
  <cols>
    <col min="1" max="1" width="9.109375" style="51"/>
    <col min="2" max="2" width="12.5546875" style="51" customWidth="1"/>
    <col min="3" max="3" width="37.44140625" style="51" bestFit="1" customWidth="1"/>
    <col min="4" max="9" width="13.6640625" style="51" customWidth="1"/>
    <col min="10" max="10" width="17.88671875" style="51" customWidth="1"/>
    <col min="11" max="11" width="18.109375" style="51" customWidth="1"/>
    <col min="12" max="13" width="13.6640625" style="51" customWidth="1"/>
    <col min="14" max="16384" width="9.109375" style="51"/>
  </cols>
  <sheetData>
    <row r="1" spans="2:14">
      <c r="B1" s="53"/>
    </row>
    <row r="2" spans="2:14">
      <c r="B2" s="53"/>
    </row>
    <row r="3" spans="2:14" ht="25.2" thickBot="1">
      <c r="B3" s="64" t="s">
        <v>159</v>
      </c>
    </row>
    <row r="4" spans="2:14" s="54" customFormat="1" ht="29.1" customHeight="1" thickBot="1">
      <c r="B4" s="729" t="s">
        <v>31</v>
      </c>
      <c r="C4" s="730"/>
      <c r="D4" s="731" t="s">
        <v>73</v>
      </c>
      <c r="E4" s="730"/>
      <c r="F4" s="731" t="s">
        <v>2</v>
      </c>
      <c r="G4" s="730"/>
      <c r="H4" s="731" t="s">
        <v>55</v>
      </c>
      <c r="I4" s="730"/>
      <c r="J4" s="731" t="s">
        <v>56</v>
      </c>
      <c r="K4" s="730"/>
      <c r="L4" s="300" t="s">
        <v>94</v>
      </c>
      <c r="M4" s="324"/>
    </row>
    <row r="5" spans="2:14" s="54" customFormat="1" ht="39.75" customHeight="1">
      <c r="B5" s="301" t="s">
        <v>59</v>
      </c>
      <c r="C5" s="302" t="s">
        <v>60</v>
      </c>
      <c r="D5" s="303" t="s">
        <v>68</v>
      </c>
      <c r="E5" s="303" t="s">
        <v>69</v>
      </c>
      <c r="F5" s="303" t="s">
        <v>4</v>
      </c>
      <c r="G5" s="303" t="s">
        <v>5</v>
      </c>
      <c r="H5" s="304" t="s">
        <v>53</v>
      </c>
      <c r="I5" s="304" t="s">
        <v>54</v>
      </c>
      <c r="J5" s="305" t="s">
        <v>129</v>
      </c>
      <c r="K5" s="305" t="s">
        <v>130</v>
      </c>
      <c r="L5" s="305" t="s">
        <v>57</v>
      </c>
      <c r="M5" s="306" t="s">
        <v>58</v>
      </c>
    </row>
    <row r="6" spans="2:14" s="54" customFormat="1" ht="29.1" customHeight="1">
      <c r="B6" s="307">
        <v>10</v>
      </c>
      <c r="C6" s="308" t="str">
        <f>INDEX('Project List '!$C$6:$C$21, MATCH('W-Distribution'!B6,'Project List '!$B$6:$B$21,0))</f>
        <v>Zone 4N Additional 500 mm HDPE Feedermain</v>
      </c>
      <c r="D6" s="309" t="str">
        <f>INDEX('Project List '!$E$6:$E$21, MATCH(B6,'Project List '!$B$6:$B$21,0))</f>
        <v>Town</v>
      </c>
      <c r="E6" s="309" t="str">
        <f>INDEX('Project List '!$F$6:$F$21, MATCH(B6,'Project List '!$B$6:$B$21,0))</f>
        <v xml:space="preserve">OSL </v>
      </c>
      <c r="F6" s="309">
        <f>INDEX('Project List '!$G$6:$G$21, MATCH(B6,'Project List '!$B$6:$B$21,0))</f>
        <v>2026</v>
      </c>
      <c r="G6" s="309">
        <f>INDEX('Project List '!$H$6:$H$21, MATCH(B6,'Project List '!$B$6:$B$21,0))</f>
        <v>2026</v>
      </c>
      <c r="H6" s="299">
        <f>INDEX('Project List '!$I$6:$I$21, MATCH(B6,'Project List '!$B$6:$B$21,0))</f>
        <v>1</v>
      </c>
      <c r="I6" s="299">
        <f>INDEX('Project List '!$J$6:$J$21, MATCH(B6,'Project List '!$B$6:$B$21,0))</f>
        <v>0</v>
      </c>
      <c r="J6" s="326">
        <f>INDEX('Project List '!$X$6:$X$21, MATCH(B6,'Project List '!$B$6:$B$21,0))</f>
        <v>3800000</v>
      </c>
      <c r="K6" s="326">
        <f>INDEX('Project List '!$AH$6:$AH$21, MATCH(B6,'Project List '!$B$6:$B$21,0))</f>
        <v>50000</v>
      </c>
      <c r="L6" s="326">
        <f>INDEX('Project List '!$AI$6:$AI$21, MATCH(B6,'Project List '!$B$6:$B$21,0))</f>
        <v>50000</v>
      </c>
      <c r="M6" s="327">
        <f>INDEX('Project List '!$AJ$6:$AJ$21, MATCH(B6,'Project List '!$B$6:$B$21,0))</f>
        <v>0</v>
      </c>
      <c r="N6" s="65"/>
    </row>
    <row r="7" spans="2:14" s="54" customFormat="1" ht="28.2" customHeight="1">
      <c r="B7" s="307">
        <v>13</v>
      </c>
      <c r="C7" s="308" t="str">
        <f>INDEX('Project List '!$C$6:$C$21, MATCH('W-Distribution'!B7,'Project List '!$B$6:$B$21,0))</f>
        <v>Sheep River Heights Pressure Reducing Valve</v>
      </c>
      <c r="D7" s="309" t="str">
        <f>INDEX('Project List '!$E$6:$E$21, MATCH(B7,'Project List '!$B$6:$B$21,0))</f>
        <v>Town</v>
      </c>
      <c r="E7" s="309" t="str">
        <f>INDEX('Project List '!$F$6:$F$21, MATCH(B7,'Project List '!$B$6:$B$21,0))</f>
        <v xml:space="preserve">OSL </v>
      </c>
      <c r="F7" s="309">
        <f>INDEX('Project List '!$G$6:$G$21, MATCH(B7,'Project List '!$B$6:$B$21,0))</f>
        <v>2030</v>
      </c>
      <c r="G7" s="309">
        <f>INDEX('Project List '!$H$6:$H$21, MATCH(B7,'Project List '!$B$6:$B$21,0))</f>
        <v>2030</v>
      </c>
      <c r="H7" s="299">
        <f>INDEX('Project List '!$I$6:$I$21, MATCH(B7,'Project List '!$B$6:$B$21,0))</f>
        <v>1</v>
      </c>
      <c r="I7" s="299">
        <f>INDEX('Project List '!$J$6:$J$21, MATCH(B7,'Project List '!$B$6:$B$21,0))</f>
        <v>0</v>
      </c>
      <c r="J7" s="326">
        <f>INDEX('Project List '!$X$6:$X$21, MATCH(B7,'Project List '!$B$6:$B$21,0))</f>
        <v>652438.125</v>
      </c>
      <c r="K7" s="326">
        <f>INDEX('Project List '!$AH$6:$AH$21, MATCH(B7,'Project List '!$B$6:$B$21,0))</f>
        <v>652438.125</v>
      </c>
      <c r="L7" s="326">
        <f>INDEX('Project List '!$AI$6:$AI$21, MATCH(B7,'Project List '!$B$6:$B$21,0))</f>
        <v>652438.125</v>
      </c>
      <c r="M7" s="327">
        <f>INDEX('Project List '!$AJ$6:$AJ$21, MATCH(B7,'Project List '!$B$6:$B$21,0))</f>
        <v>0</v>
      </c>
      <c r="N7" s="65"/>
    </row>
    <row r="8" spans="2:14" ht="29.1" customHeight="1">
      <c r="B8" s="313">
        <v>14</v>
      </c>
      <c r="C8" s="314" t="str">
        <f>INDEX('Project List '!$C$6:$C$21, MATCH('W-Distribution'!B8,'Project List '!$B$6:$B$21,0))</f>
        <v>Sheep River CT Pressure Reducing Valve</v>
      </c>
      <c r="D8" s="315" t="str">
        <f>INDEX('Project List '!$E$6:$E$21, MATCH(B8,'Project List '!$B$6:$B$21,0))</f>
        <v>Town</v>
      </c>
      <c r="E8" s="315" t="str">
        <f>INDEX('Project List '!$F$6:$F$21, MATCH(B8,'Project List '!$B$6:$B$21,0))</f>
        <v xml:space="preserve">OSL </v>
      </c>
      <c r="F8" s="315">
        <f>INDEX('Project List '!$G$6:$G$21, MATCH(B8,'Project List '!$B$6:$B$21,0))</f>
        <v>2030</v>
      </c>
      <c r="G8" s="315">
        <f>INDEX('Project List '!$H$6:$H$21, MATCH(B8,'Project List '!$B$6:$B$21,0))</f>
        <v>2030</v>
      </c>
      <c r="H8" s="332">
        <f>INDEX('Project List '!$I$6:$I$21, MATCH(B8,'Project List '!$B$6:$B$21,0))</f>
        <v>1</v>
      </c>
      <c r="I8" s="332">
        <f>INDEX('Project List '!$J$6:$J$21, MATCH(B8,'Project List '!$B$6:$B$21,0))</f>
        <v>0</v>
      </c>
      <c r="J8" s="333">
        <f>INDEX('Project List '!$X$6:$X$21, MATCH(B8,'Project List '!$B$6:$B$21,0))</f>
        <v>330946.875</v>
      </c>
      <c r="K8" s="333">
        <f>INDEX('Project List '!$AH$6:$AH$21, MATCH(B8,'Project List '!$B$6:$B$21,0))</f>
        <v>330946.875</v>
      </c>
      <c r="L8" s="333">
        <f>INDEX('Project List '!$AI$6:$AI$21, MATCH(B8,'Project List '!$B$6:$B$21,0))</f>
        <v>330946.875</v>
      </c>
      <c r="M8" s="334">
        <f>INDEX('Project List '!$AJ$6:$AJ$21, MATCH(B8,'Project List '!$B$6:$B$21,0))</f>
        <v>0</v>
      </c>
      <c r="N8" s="65"/>
    </row>
    <row r="9" spans="2:14" s="54" customFormat="1" ht="18.75" customHeight="1" thickBot="1">
      <c r="B9" s="328"/>
      <c r="C9" s="329"/>
      <c r="D9" s="330"/>
      <c r="E9" s="330"/>
      <c r="F9" s="330"/>
      <c r="G9" s="330"/>
      <c r="H9" s="331"/>
      <c r="I9" s="331"/>
      <c r="J9" s="552">
        <f>SUM(J6:J8)</f>
        <v>4783385</v>
      </c>
      <c r="K9" s="552">
        <f t="shared" ref="K9:M9" si="0">SUM(K6:K8)</f>
        <v>1033385</v>
      </c>
      <c r="L9" s="552">
        <f t="shared" si="0"/>
        <v>1033385</v>
      </c>
      <c r="M9" s="553">
        <f t="shared" si="0"/>
        <v>0</v>
      </c>
    </row>
    <row r="10" spans="2:14" customFormat="1" ht="29.1" customHeight="1"/>
    <row r="11" spans="2:14" customFormat="1" ht="29.1" customHeight="1"/>
    <row r="12" spans="2:14" customFormat="1" ht="29.1" customHeight="1"/>
    <row r="13" spans="2:14" customFormat="1" ht="29.1" customHeight="1"/>
    <row r="16" spans="2:14" hidden="1">
      <c r="B16" s="50" t="s">
        <v>107</v>
      </c>
      <c r="D16" s="55"/>
      <c r="E16" s="55"/>
    </row>
    <row r="17" spans="2:7" ht="32.85" hidden="1" customHeight="1">
      <c r="B17" s="59" t="s">
        <v>59</v>
      </c>
      <c r="C17" s="60" t="s">
        <v>60</v>
      </c>
      <c r="D17" s="61" t="s">
        <v>158</v>
      </c>
      <c r="E17" s="732" t="s">
        <v>157</v>
      </c>
      <c r="F17" s="732"/>
      <c r="G17" s="61" t="s">
        <v>182</v>
      </c>
    </row>
    <row r="18" spans="2:7" hidden="1">
      <c r="B18" s="54">
        <v>10</v>
      </c>
      <c r="C18" s="55" t="s">
        <v>64</v>
      </c>
      <c r="D18" s="135"/>
      <c r="E18" s="733"/>
      <c r="F18" s="733"/>
    </row>
    <row r="19" spans="2:7" hidden="1">
      <c r="B19" s="54">
        <v>13</v>
      </c>
      <c r="C19" s="55" t="s">
        <v>65</v>
      </c>
      <c r="D19" s="135"/>
      <c r="E19" s="733"/>
      <c r="F19" s="733"/>
    </row>
    <row r="20" spans="2:7" ht="12.6" hidden="1" thickBot="1">
      <c r="B20" s="57">
        <v>14</v>
      </c>
      <c r="C20" s="58" t="s">
        <v>66</v>
      </c>
      <c r="D20" s="136"/>
      <c r="E20" s="728"/>
      <c r="F20" s="728"/>
    </row>
    <row r="21" spans="2:7" ht="12.6" hidden="1" thickTop="1">
      <c r="D21" s="117"/>
      <c r="E21" s="117"/>
      <c r="F21" s="138"/>
    </row>
  </sheetData>
  <mergeCells count="9">
    <mergeCell ref="E20:F20"/>
    <mergeCell ref="B4:C4"/>
    <mergeCell ref="D4:E4"/>
    <mergeCell ref="F4:G4"/>
    <mergeCell ref="J4:K4"/>
    <mergeCell ref="E17:F17"/>
    <mergeCell ref="H4:I4"/>
    <mergeCell ref="E18:F18"/>
    <mergeCell ref="E19:F19"/>
  </mergeCells>
  <pageMargins left="0.25" right="0.25" top="0.75" bottom="0.75" header="0.3" footer="0.3"/>
  <pageSetup paperSize="4" scale="3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18F5A-2A0A-4653-9F10-BA388297E4A2}">
  <sheetPr codeName="Sheet65">
    <tabColor rgb="FF0070C0"/>
  </sheetPr>
  <dimension ref="A1:BU76"/>
  <sheetViews>
    <sheetView showGridLines="0" topLeftCell="A16" zoomScale="70" zoomScaleNormal="70" workbookViewId="0">
      <selection activeCell="I48" sqref="I48"/>
    </sheetView>
  </sheetViews>
  <sheetFormatPr defaultColWidth="9.109375" defaultRowHeight="14.4"/>
  <cols>
    <col min="1" max="1" width="21.88671875" customWidth="1"/>
    <col min="2" max="2" width="55" customWidth="1"/>
    <col min="3" max="3" width="16.6640625" customWidth="1"/>
    <col min="4" max="5" width="19.5546875" customWidth="1"/>
    <col min="6" max="6" width="25.44140625" customWidth="1"/>
    <col min="7" max="9" width="23.109375" style="1" customWidth="1"/>
    <col min="10" max="12" width="25.109375" customWidth="1"/>
    <col min="13" max="13" width="18.6640625" customWidth="1"/>
    <col min="14" max="14" width="20.109375" customWidth="1"/>
    <col min="15" max="15" width="21" customWidth="1"/>
    <col min="16" max="16" width="19.44140625" customWidth="1"/>
    <col min="17" max="17" width="18.21875" customWidth="1"/>
    <col min="18" max="18" width="20.109375" customWidth="1"/>
    <col min="19" max="19" width="17.88671875" customWidth="1"/>
    <col min="20" max="20" width="18.21875" customWidth="1"/>
    <col min="21" max="21" width="16.88671875" customWidth="1"/>
    <col min="22" max="22" width="20" customWidth="1"/>
    <col min="23" max="23" width="18.21875" customWidth="1"/>
    <col min="24" max="24" width="19.5546875" customWidth="1"/>
    <col min="25" max="25" width="18.6640625" customWidth="1"/>
    <col min="26" max="26" width="20" customWidth="1"/>
    <col min="27" max="27" width="17.109375" customWidth="1"/>
    <col min="28" max="28" width="16.44140625" customWidth="1"/>
    <col min="29" max="29" width="15.44140625" customWidth="1"/>
    <col min="30" max="30" width="16" customWidth="1"/>
    <col min="31" max="31" width="15.88671875" customWidth="1"/>
    <col min="32" max="34" width="18.21875" customWidth="1"/>
    <col min="35" max="35" width="17.44140625" customWidth="1"/>
    <col min="36" max="36" width="19.5546875" customWidth="1"/>
    <col min="37" max="37" width="17.44140625" customWidth="1"/>
    <col min="38" max="38" width="16.44140625" customWidth="1"/>
    <col min="39" max="73" width="18.88671875" customWidth="1"/>
    <col min="74" max="74" width="20.21875" customWidth="1"/>
    <col min="75" max="75" width="18.88671875" customWidth="1"/>
    <col min="76" max="76" width="20" customWidth="1"/>
    <col min="77" max="77" width="17.109375" customWidth="1"/>
    <col min="78" max="78" width="20.21875" customWidth="1"/>
    <col min="79" max="79" width="16.88671875" customWidth="1"/>
    <col min="80" max="80" width="16.21875" customWidth="1"/>
    <col min="81" max="81" width="21.109375" customWidth="1"/>
    <col min="82" max="82" width="19.109375" customWidth="1"/>
  </cols>
  <sheetData>
    <row r="1" spans="1:73" ht="21">
      <c r="A1" s="555"/>
    </row>
    <row r="3" spans="1:73" ht="15.6">
      <c r="B3" s="746" t="s">
        <v>101</v>
      </c>
      <c r="C3" s="746"/>
      <c r="D3" s="746"/>
      <c r="E3" s="746"/>
      <c r="F3" s="746"/>
      <c r="G3" s="746"/>
      <c r="H3" s="746"/>
      <c r="I3" s="746"/>
      <c r="J3" s="746"/>
      <c r="K3" s="14"/>
      <c r="L3" s="14"/>
      <c r="M3" s="2"/>
      <c r="N3" s="26"/>
      <c r="O3" s="27"/>
      <c r="P3" s="27"/>
      <c r="Q3" s="28"/>
      <c r="R3" s="26"/>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row>
    <row r="4" spans="1:73" ht="15.6">
      <c r="B4" s="746" t="s">
        <v>33</v>
      </c>
      <c r="C4" s="746"/>
      <c r="D4" s="746"/>
      <c r="E4" s="746"/>
      <c r="F4" s="746"/>
      <c r="G4" s="746"/>
      <c r="H4" s="746"/>
      <c r="I4" s="746"/>
      <c r="J4" s="746"/>
      <c r="K4" s="14"/>
      <c r="L4" s="14"/>
      <c r="M4" s="14"/>
      <c r="N4" s="26"/>
      <c r="O4" s="27"/>
      <c r="P4" s="27"/>
      <c r="Q4" s="28"/>
      <c r="R4" s="26"/>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row>
    <row r="5" spans="1:73" ht="15.6">
      <c r="B5" s="746" t="str">
        <f>Assumptions!B3&amp;" $s"</f>
        <v>2026 $s</v>
      </c>
      <c r="C5" s="746"/>
      <c r="D5" s="746"/>
      <c r="E5" s="746"/>
      <c r="F5" s="746"/>
      <c r="G5" s="746"/>
      <c r="H5" s="746"/>
      <c r="I5" s="746"/>
      <c r="J5" s="746"/>
      <c r="K5" s="14"/>
      <c r="L5" s="14"/>
      <c r="M5" s="48"/>
      <c r="N5" s="26"/>
      <c r="O5" s="27"/>
      <c r="P5" s="27"/>
      <c r="Q5" s="28"/>
      <c r="R5" s="26"/>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row>
    <row r="6" spans="1:73" ht="15.6">
      <c r="K6" s="14"/>
      <c r="L6" s="69">
        <v>1</v>
      </c>
      <c r="M6" s="70">
        <f>(1+M7)</f>
        <v>1.0249999999999999</v>
      </c>
      <c r="N6" s="70">
        <f>+(1+N7)*M6</f>
        <v>1.0506249999999999</v>
      </c>
      <c r="O6" s="70">
        <f>+(1+O7)*N6</f>
        <v>1.0768906249999999</v>
      </c>
      <c r="P6" s="70">
        <f t="shared" ref="P6:BS6" si="0">+(1+P7)*O6</f>
        <v>1.1038128906249998</v>
      </c>
      <c r="Q6" s="70">
        <f t="shared" si="0"/>
        <v>1.1314082128906247</v>
      </c>
      <c r="R6" s="70">
        <f t="shared" si="0"/>
        <v>1.1596934182128902</v>
      </c>
      <c r="S6" s="70">
        <f t="shared" si="0"/>
        <v>1.1886857536682123</v>
      </c>
      <c r="T6" s="70">
        <f t="shared" si="0"/>
        <v>1.2184028975099175</v>
      </c>
      <c r="U6" s="70">
        <f t="shared" si="0"/>
        <v>1.2488629699476652</v>
      </c>
      <c r="V6" s="70">
        <f t="shared" si="0"/>
        <v>1.2800845441963566</v>
      </c>
      <c r="W6" s="70">
        <f t="shared" si="0"/>
        <v>1.3120866578012655</v>
      </c>
      <c r="X6" s="70">
        <f t="shared" si="0"/>
        <v>1.3448888242462971</v>
      </c>
      <c r="Y6" s="70">
        <f t="shared" si="0"/>
        <v>1.3785110448524545</v>
      </c>
      <c r="Z6" s="70">
        <f t="shared" si="0"/>
        <v>1.4129738209737657</v>
      </c>
      <c r="AA6" s="70">
        <f t="shared" si="0"/>
        <v>1.4482981664981096</v>
      </c>
      <c r="AB6" s="70">
        <f t="shared" si="0"/>
        <v>1.4845056206605622</v>
      </c>
      <c r="AC6" s="70">
        <f t="shared" si="0"/>
        <v>1.5216182611770761</v>
      </c>
      <c r="AD6" s="70">
        <f t="shared" si="0"/>
        <v>1.5596587177065029</v>
      </c>
      <c r="AE6" s="70">
        <f t="shared" si="0"/>
        <v>1.5986501856491653</v>
      </c>
      <c r="AF6" s="70">
        <f t="shared" si="0"/>
        <v>1.6386164402903942</v>
      </c>
      <c r="AG6" s="70">
        <f t="shared" si="0"/>
        <v>1.6795818512976539</v>
      </c>
      <c r="AH6" s="70">
        <f t="shared" si="0"/>
        <v>1.721571397580095</v>
      </c>
      <c r="AI6" s="70">
        <f t="shared" si="0"/>
        <v>1.7646106825195973</v>
      </c>
      <c r="AJ6" s="70">
        <f t="shared" si="0"/>
        <v>1.8087259495825871</v>
      </c>
      <c r="AK6" s="70">
        <f t="shared" si="0"/>
        <v>1.8539440983221516</v>
      </c>
      <c r="AL6" s="70">
        <f t="shared" si="0"/>
        <v>1.9002927007802053</v>
      </c>
      <c r="AM6" s="70">
        <f t="shared" si="0"/>
        <v>1.9478000182997102</v>
      </c>
      <c r="AN6" s="70">
        <f t="shared" si="0"/>
        <v>1.9964950187572028</v>
      </c>
      <c r="AO6" s="70">
        <f>+(1+AO7)*AN6</f>
        <v>2.0464073942261325</v>
      </c>
      <c r="AP6" s="70">
        <f t="shared" si="0"/>
        <v>2.0975675790817858</v>
      </c>
      <c r="AQ6" s="70">
        <f t="shared" si="0"/>
        <v>2.1500067685588302</v>
      </c>
      <c r="AR6" s="70">
        <f t="shared" si="0"/>
        <v>2.2037569377728006</v>
      </c>
      <c r="AS6" s="70">
        <f t="shared" si="0"/>
        <v>2.2588508612171205</v>
      </c>
      <c r="AT6" s="70">
        <f t="shared" si="0"/>
        <v>2.3153221327475482</v>
      </c>
      <c r="AU6" s="70">
        <f t="shared" si="0"/>
        <v>2.3732051860662366</v>
      </c>
      <c r="AV6" s="70">
        <f t="shared" si="0"/>
        <v>2.4325353157178924</v>
      </c>
      <c r="AW6" s="70">
        <f t="shared" si="0"/>
        <v>2.4933486986108395</v>
      </c>
      <c r="AX6" s="70">
        <f t="shared" si="0"/>
        <v>2.5556824160761105</v>
      </c>
      <c r="AY6" s="70">
        <f t="shared" si="0"/>
        <v>2.6195744764780131</v>
      </c>
      <c r="AZ6" s="70">
        <f t="shared" si="0"/>
        <v>2.6850638383899632</v>
      </c>
      <c r="BA6" s="70">
        <f t="shared" si="0"/>
        <v>2.7521904343497119</v>
      </c>
      <c r="BB6" s="70">
        <f t="shared" si="0"/>
        <v>2.8209951952084547</v>
      </c>
      <c r="BC6" s="70">
        <f t="shared" si="0"/>
        <v>2.8915200750886658</v>
      </c>
      <c r="BD6" s="70">
        <f t="shared" si="0"/>
        <v>2.9638080769658823</v>
      </c>
      <c r="BE6" s="70">
        <f t="shared" si="0"/>
        <v>3.0379032788900293</v>
      </c>
      <c r="BF6" s="70">
        <f t="shared" si="0"/>
        <v>3.1138508608622799</v>
      </c>
      <c r="BG6" s="70">
        <f t="shared" si="0"/>
        <v>3.1916971323838368</v>
      </c>
      <c r="BH6" s="70">
        <f t="shared" si="0"/>
        <v>3.2714895606934324</v>
      </c>
      <c r="BI6" s="70">
        <f t="shared" si="0"/>
        <v>3.353276799710768</v>
      </c>
      <c r="BJ6" s="70">
        <f t="shared" si="0"/>
        <v>3.437108719703537</v>
      </c>
      <c r="BK6" s="70">
        <f t="shared" si="0"/>
        <v>3.523036437696125</v>
      </c>
      <c r="BL6" s="70">
        <f t="shared" si="0"/>
        <v>3.6111123486385277</v>
      </c>
      <c r="BM6" s="70">
        <f t="shared" si="0"/>
        <v>3.7013901573544907</v>
      </c>
      <c r="BN6" s="70">
        <f t="shared" si="0"/>
        <v>3.7939249112883529</v>
      </c>
      <c r="BO6" s="70">
        <f t="shared" si="0"/>
        <v>3.8887730340705615</v>
      </c>
      <c r="BP6" s="70">
        <f t="shared" si="0"/>
        <v>3.9859923599223253</v>
      </c>
      <c r="BQ6" s="70">
        <f t="shared" si="0"/>
        <v>4.0856421689203835</v>
      </c>
      <c r="BR6" s="70">
        <f t="shared" si="0"/>
        <v>4.1877832231433922</v>
      </c>
      <c r="BS6" s="71">
        <f t="shared" si="0"/>
        <v>4.2924778037219768</v>
      </c>
      <c r="BT6" s="29"/>
      <c r="BU6" s="29"/>
    </row>
    <row r="7" spans="1:73" ht="15" thickBot="1">
      <c r="E7" s="3"/>
      <c r="F7" s="10"/>
      <c r="G7" s="10"/>
      <c r="H7" s="10"/>
      <c r="I7" s="4"/>
      <c r="J7" s="4"/>
      <c r="K7" s="4"/>
      <c r="L7" s="226">
        <f>Assumptions!$B$18</f>
        <v>2.5000000000000001E-2</v>
      </c>
      <c r="M7" s="226">
        <f>Assumptions!$B$18</f>
        <v>2.5000000000000001E-2</v>
      </c>
      <c r="N7" s="226">
        <f>Assumptions!$B$18</f>
        <v>2.5000000000000001E-2</v>
      </c>
      <c r="O7" s="226">
        <f>Assumptions!$B$18</f>
        <v>2.5000000000000001E-2</v>
      </c>
      <c r="P7" s="226">
        <f>Assumptions!$B$18</f>
        <v>2.5000000000000001E-2</v>
      </c>
      <c r="Q7" s="226">
        <f>Assumptions!$B$18</f>
        <v>2.5000000000000001E-2</v>
      </c>
      <c r="R7" s="226">
        <f>Assumptions!$B$18</f>
        <v>2.5000000000000001E-2</v>
      </c>
      <c r="S7" s="226">
        <f>Assumptions!$B$18</f>
        <v>2.5000000000000001E-2</v>
      </c>
      <c r="T7" s="226">
        <f>Assumptions!$B$18</f>
        <v>2.5000000000000001E-2</v>
      </c>
      <c r="U7" s="226">
        <f>Assumptions!$B$18</f>
        <v>2.5000000000000001E-2</v>
      </c>
      <c r="V7" s="226">
        <f>Assumptions!$B$18</f>
        <v>2.5000000000000001E-2</v>
      </c>
      <c r="W7" s="226">
        <f>Assumptions!$B$18</f>
        <v>2.5000000000000001E-2</v>
      </c>
      <c r="X7" s="226">
        <f>Assumptions!$B$18</f>
        <v>2.5000000000000001E-2</v>
      </c>
      <c r="Y7" s="226">
        <f>Assumptions!$B$18</f>
        <v>2.5000000000000001E-2</v>
      </c>
      <c r="Z7" s="226">
        <f>Assumptions!$B$18</f>
        <v>2.5000000000000001E-2</v>
      </c>
      <c r="AA7" s="226">
        <f>Assumptions!$B$18</f>
        <v>2.5000000000000001E-2</v>
      </c>
      <c r="AB7" s="226">
        <f>Assumptions!$B$18</f>
        <v>2.5000000000000001E-2</v>
      </c>
      <c r="AC7" s="226">
        <f>Assumptions!$B$18</f>
        <v>2.5000000000000001E-2</v>
      </c>
      <c r="AD7" s="226">
        <f>Assumptions!$B$18</f>
        <v>2.5000000000000001E-2</v>
      </c>
      <c r="AE7" s="226">
        <f>Assumptions!$B$18</f>
        <v>2.5000000000000001E-2</v>
      </c>
      <c r="AF7" s="226">
        <f>Assumptions!$B$18</f>
        <v>2.5000000000000001E-2</v>
      </c>
      <c r="AG7" s="226">
        <f>Assumptions!$B$18</f>
        <v>2.5000000000000001E-2</v>
      </c>
      <c r="AH7" s="226">
        <f>Assumptions!$B$18</f>
        <v>2.5000000000000001E-2</v>
      </c>
      <c r="AI7" s="226">
        <f>Assumptions!$B$18</f>
        <v>2.5000000000000001E-2</v>
      </c>
      <c r="AJ7" s="226">
        <f>Assumptions!$B$18</f>
        <v>2.5000000000000001E-2</v>
      </c>
      <c r="AK7" s="226">
        <f>Assumptions!$B$18</f>
        <v>2.5000000000000001E-2</v>
      </c>
      <c r="AL7" s="226">
        <f>Assumptions!$B$18</f>
        <v>2.5000000000000001E-2</v>
      </c>
      <c r="AM7" s="226">
        <f>Assumptions!$B$18</f>
        <v>2.5000000000000001E-2</v>
      </c>
      <c r="AN7" s="226">
        <f>Assumptions!$B$18</f>
        <v>2.5000000000000001E-2</v>
      </c>
      <c r="AO7" s="226">
        <f>Assumptions!$B$18</f>
        <v>2.5000000000000001E-2</v>
      </c>
      <c r="AP7" s="226">
        <f>Assumptions!$B$18</f>
        <v>2.5000000000000001E-2</v>
      </c>
      <c r="AQ7" s="226">
        <f>Assumptions!$B$18</f>
        <v>2.5000000000000001E-2</v>
      </c>
      <c r="AR7" s="226">
        <f>Assumptions!$B$18</f>
        <v>2.5000000000000001E-2</v>
      </c>
      <c r="AS7" s="226">
        <f>Assumptions!$B$18</f>
        <v>2.5000000000000001E-2</v>
      </c>
      <c r="AT7" s="226">
        <f>Assumptions!$B$18</f>
        <v>2.5000000000000001E-2</v>
      </c>
      <c r="AU7" s="226">
        <f>Assumptions!$B$18</f>
        <v>2.5000000000000001E-2</v>
      </c>
      <c r="AV7" s="226">
        <f>Assumptions!$B$18</f>
        <v>2.5000000000000001E-2</v>
      </c>
      <c r="AW7" s="226">
        <f>Assumptions!$B$18</f>
        <v>2.5000000000000001E-2</v>
      </c>
      <c r="AX7" s="226">
        <f>Assumptions!$B$18</f>
        <v>2.5000000000000001E-2</v>
      </c>
      <c r="AY7" s="226">
        <f>Assumptions!$B$18</f>
        <v>2.5000000000000001E-2</v>
      </c>
      <c r="AZ7" s="226">
        <f>Assumptions!$B$18</f>
        <v>2.5000000000000001E-2</v>
      </c>
      <c r="BA7" s="226">
        <f>Assumptions!$B$18</f>
        <v>2.5000000000000001E-2</v>
      </c>
      <c r="BB7" s="226">
        <f>Assumptions!$B$18</f>
        <v>2.5000000000000001E-2</v>
      </c>
      <c r="BC7" s="226">
        <f>Assumptions!$B$18</f>
        <v>2.5000000000000001E-2</v>
      </c>
      <c r="BD7" s="226">
        <f>Assumptions!$B$18</f>
        <v>2.5000000000000001E-2</v>
      </c>
      <c r="BE7" s="226">
        <f>Assumptions!$B$18</f>
        <v>2.5000000000000001E-2</v>
      </c>
      <c r="BF7" s="226">
        <f>Assumptions!$B$18</f>
        <v>2.5000000000000001E-2</v>
      </c>
      <c r="BG7" s="226">
        <f>Assumptions!$B$18</f>
        <v>2.5000000000000001E-2</v>
      </c>
      <c r="BH7" s="226">
        <f>Assumptions!$B$18</f>
        <v>2.5000000000000001E-2</v>
      </c>
      <c r="BI7" s="226">
        <f>Assumptions!$B$18</f>
        <v>2.5000000000000001E-2</v>
      </c>
      <c r="BJ7" s="226">
        <f>Assumptions!$B$18</f>
        <v>2.5000000000000001E-2</v>
      </c>
      <c r="BK7" s="226">
        <f>Assumptions!$B$18</f>
        <v>2.5000000000000001E-2</v>
      </c>
      <c r="BL7" s="226">
        <f>Assumptions!$B$18</f>
        <v>2.5000000000000001E-2</v>
      </c>
      <c r="BM7" s="226">
        <f>Assumptions!$B$18</f>
        <v>2.5000000000000001E-2</v>
      </c>
      <c r="BN7" s="226">
        <f>Assumptions!$B$18</f>
        <v>2.5000000000000001E-2</v>
      </c>
      <c r="BO7" s="226">
        <f>Assumptions!$B$18</f>
        <v>2.5000000000000001E-2</v>
      </c>
      <c r="BP7" s="226">
        <f>Assumptions!$B$18</f>
        <v>2.5000000000000001E-2</v>
      </c>
      <c r="BQ7" s="226">
        <f>Assumptions!$B$18</f>
        <v>2.5000000000000001E-2</v>
      </c>
      <c r="BR7" s="226">
        <f>Assumptions!$B$18</f>
        <v>2.5000000000000001E-2</v>
      </c>
      <c r="BS7" s="226">
        <f>Assumptions!$B$18</f>
        <v>2.5000000000000001E-2</v>
      </c>
    </row>
    <row r="8" spans="1:73" ht="16.05" customHeight="1">
      <c r="A8" s="750" t="s">
        <v>0</v>
      </c>
      <c r="B8" s="753" t="s">
        <v>1</v>
      </c>
      <c r="C8" s="753" t="s">
        <v>2</v>
      </c>
      <c r="D8" s="753"/>
      <c r="E8" s="753"/>
      <c r="F8" s="754" t="s">
        <v>26</v>
      </c>
      <c r="G8" s="39"/>
      <c r="H8" s="39"/>
      <c r="I8" s="747" t="s">
        <v>20</v>
      </c>
      <c r="J8" s="747" t="s">
        <v>21</v>
      </c>
      <c r="K8" s="744" t="s">
        <v>27</v>
      </c>
      <c r="L8" s="72" t="s">
        <v>40</v>
      </c>
      <c r="M8" s="73"/>
      <c r="N8" s="73"/>
      <c r="O8" s="73"/>
      <c r="P8" s="73"/>
      <c r="Q8" s="73"/>
      <c r="R8" s="73"/>
      <c r="S8" s="73"/>
      <c r="T8" s="73"/>
      <c r="U8" s="73"/>
      <c r="V8" s="73"/>
      <c r="W8" s="73"/>
      <c r="X8" s="73"/>
      <c r="Y8" s="73"/>
      <c r="Z8" s="73"/>
      <c r="AA8" s="73"/>
      <c r="AB8" s="73"/>
      <c r="AC8" s="73"/>
      <c r="AD8" s="73"/>
      <c r="AE8" s="73"/>
      <c r="AF8" s="73"/>
      <c r="AG8" s="73"/>
      <c r="AH8" s="73"/>
      <c r="AI8" s="73"/>
      <c r="AJ8" s="73"/>
      <c r="AK8" s="73"/>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663"/>
    </row>
    <row r="9" spans="1:73" ht="65.7" customHeight="1">
      <c r="A9" s="751"/>
      <c r="B9" s="738"/>
      <c r="C9" s="738" t="s">
        <v>4</v>
      </c>
      <c r="D9" s="738" t="s">
        <v>5</v>
      </c>
      <c r="E9" s="738" t="s">
        <v>3</v>
      </c>
      <c r="F9" s="755"/>
      <c r="G9" s="40" t="s">
        <v>80</v>
      </c>
      <c r="H9" s="40" t="s">
        <v>41</v>
      </c>
      <c r="I9" s="748"/>
      <c r="J9" s="748"/>
      <c r="K9" s="745"/>
      <c r="L9" s="33">
        <v>0</v>
      </c>
      <c r="M9" s="33">
        <v>1</v>
      </c>
      <c r="N9" s="33">
        <f t="shared" ref="N9:BS9" si="1">+M9+1</f>
        <v>2</v>
      </c>
      <c r="O9" s="33">
        <f t="shared" si="1"/>
        <v>3</v>
      </c>
      <c r="P9" s="33">
        <f t="shared" si="1"/>
        <v>4</v>
      </c>
      <c r="Q9" s="33">
        <f t="shared" si="1"/>
        <v>5</v>
      </c>
      <c r="R9" s="33">
        <f t="shared" si="1"/>
        <v>6</v>
      </c>
      <c r="S9" s="33">
        <f t="shared" si="1"/>
        <v>7</v>
      </c>
      <c r="T9" s="33">
        <f t="shared" si="1"/>
        <v>8</v>
      </c>
      <c r="U9" s="33">
        <f t="shared" si="1"/>
        <v>9</v>
      </c>
      <c r="V9" s="33">
        <f t="shared" si="1"/>
        <v>10</v>
      </c>
      <c r="W9" s="33">
        <f t="shared" si="1"/>
        <v>11</v>
      </c>
      <c r="X9" s="33">
        <f t="shared" si="1"/>
        <v>12</v>
      </c>
      <c r="Y9" s="33">
        <f t="shared" si="1"/>
        <v>13</v>
      </c>
      <c r="Z9" s="33">
        <f t="shared" si="1"/>
        <v>14</v>
      </c>
      <c r="AA9" s="33">
        <f t="shared" si="1"/>
        <v>15</v>
      </c>
      <c r="AB9" s="33">
        <f t="shared" si="1"/>
        <v>16</v>
      </c>
      <c r="AC9" s="33">
        <f t="shared" si="1"/>
        <v>17</v>
      </c>
      <c r="AD9" s="33">
        <f t="shared" si="1"/>
        <v>18</v>
      </c>
      <c r="AE9" s="33">
        <f t="shared" si="1"/>
        <v>19</v>
      </c>
      <c r="AF9" s="33">
        <f t="shared" si="1"/>
        <v>20</v>
      </c>
      <c r="AG9" s="33">
        <f t="shared" si="1"/>
        <v>21</v>
      </c>
      <c r="AH9" s="33">
        <f t="shared" si="1"/>
        <v>22</v>
      </c>
      <c r="AI9" s="33">
        <f t="shared" si="1"/>
        <v>23</v>
      </c>
      <c r="AJ9" s="33">
        <f t="shared" si="1"/>
        <v>24</v>
      </c>
      <c r="AK9" s="33">
        <f t="shared" si="1"/>
        <v>25</v>
      </c>
      <c r="AL9" s="33">
        <f t="shared" si="1"/>
        <v>26</v>
      </c>
      <c r="AM9" s="33">
        <f t="shared" si="1"/>
        <v>27</v>
      </c>
      <c r="AN9" s="33">
        <f t="shared" si="1"/>
        <v>28</v>
      </c>
      <c r="AO9" s="33">
        <f t="shared" si="1"/>
        <v>29</v>
      </c>
      <c r="AP9" s="33">
        <f t="shared" si="1"/>
        <v>30</v>
      </c>
      <c r="AQ9" s="33">
        <f t="shared" si="1"/>
        <v>31</v>
      </c>
      <c r="AR9" s="33">
        <f t="shared" si="1"/>
        <v>32</v>
      </c>
      <c r="AS9" s="33">
        <f t="shared" si="1"/>
        <v>33</v>
      </c>
      <c r="AT9" s="33">
        <f t="shared" si="1"/>
        <v>34</v>
      </c>
      <c r="AU9" s="33">
        <f t="shared" si="1"/>
        <v>35</v>
      </c>
      <c r="AV9" s="33">
        <f t="shared" si="1"/>
        <v>36</v>
      </c>
      <c r="AW9" s="33">
        <f t="shared" si="1"/>
        <v>37</v>
      </c>
      <c r="AX9" s="33">
        <f t="shared" si="1"/>
        <v>38</v>
      </c>
      <c r="AY9" s="33">
        <f t="shared" si="1"/>
        <v>39</v>
      </c>
      <c r="AZ9" s="33">
        <f t="shared" si="1"/>
        <v>40</v>
      </c>
      <c r="BA9" s="33">
        <f t="shared" si="1"/>
        <v>41</v>
      </c>
      <c r="BB9" s="33">
        <f t="shared" si="1"/>
        <v>42</v>
      </c>
      <c r="BC9" s="33">
        <f t="shared" si="1"/>
        <v>43</v>
      </c>
      <c r="BD9" s="33">
        <f t="shared" si="1"/>
        <v>44</v>
      </c>
      <c r="BE9" s="33">
        <f t="shared" si="1"/>
        <v>45</v>
      </c>
      <c r="BF9" s="33">
        <f t="shared" si="1"/>
        <v>46</v>
      </c>
      <c r="BG9" s="33">
        <f t="shared" si="1"/>
        <v>47</v>
      </c>
      <c r="BH9" s="33">
        <f t="shared" si="1"/>
        <v>48</v>
      </c>
      <c r="BI9" s="33">
        <f t="shared" si="1"/>
        <v>49</v>
      </c>
      <c r="BJ9" s="33">
        <f t="shared" si="1"/>
        <v>50</v>
      </c>
      <c r="BK9" s="33">
        <f t="shared" si="1"/>
        <v>51</v>
      </c>
      <c r="BL9" s="33">
        <f t="shared" si="1"/>
        <v>52</v>
      </c>
      <c r="BM9" s="33">
        <f t="shared" si="1"/>
        <v>53</v>
      </c>
      <c r="BN9" s="33">
        <f t="shared" si="1"/>
        <v>54</v>
      </c>
      <c r="BO9" s="33">
        <f t="shared" si="1"/>
        <v>55</v>
      </c>
      <c r="BP9" s="33">
        <f t="shared" si="1"/>
        <v>56</v>
      </c>
      <c r="BQ9" s="33">
        <f t="shared" si="1"/>
        <v>57</v>
      </c>
      <c r="BR9" s="33">
        <f t="shared" si="1"/>
        <v>58</v>
      </c>
      <c r="BS9" s="33">
        <f t="shared" si="1"/>
        <v>59</v>
      </c>
      <c r="BT9" s="664"/>
    </row>
    <row r="10" spans="1:73" ht="18" customHeight="1" thickBot="1">
      <c r="A10" s="752"/>
      <c r="B10" s="739"/>
      <c r="C10" s="739"/>
      <c r="D10" s="739"/>
      <c r="E10" s="739"/>
      <c r="F10" s="25" t="str">
        <f>CONCATENATE("(",$B$5,")")</f>
        <v>(2026 $s)</v>
      </c>
      <c r="G10" s="25" t="str">
        <f>CONCATENATE("(",$B$5,")")</f>
        <v>(2026 $s)</v>
      </c>
      <c r="H10" s="25" t="str">
        <f>CONCATENATE("(",$B$5,")")</f>
        <v>(2026 $s)</v>
      </c>
      <c r="I10" s="749"/>
      <c r="J10" s="749"/>
      <c r="K10" s="30" t="str">
        <f>CONCATENATE("(",B5,")")</f>
        <v>(2026 $s)</v>
      </c>
      <c r="L10" s="5">
        <f>Assumptions!B3</f>
        <v>2026</v>
      </c>
      <c r="M10" s="5">
        <f t="shared" ref="M10:BS10" si="2">L10+1</f>
        <v>2027</v>
      </c>
      <c r="N10" s="5">
        <f t="shared" si="2"/>
        <v>2028</v>
      </c>
      <c r="O10" s="5">
        <f t="shared" si="2"/>
        <v>2029</v>
      </c>
      <c r="P10" s="5">
        <f t="shared" si="2"/>
        <v>2030</v>
      </c>
      <c r="Q10" s="5">
        <f t="shared" si="2"/>
        <v>2031</v>
      </c>
      <c r="R10" s="5">
        <f t="shared" si="2"/>
        <v>2032</v>
      </c>
      <c r="S10" s="5">
        <f t="shared" si="2"/>
        <v>2033</v>
      </c>
      <c r="T10" s="5">
        <f t="shared" si="2"/>
        <v>2034</v>
      </c>
      <c r="U10" s="5">
        <f t="shared" si="2"/>
        <v>2035</v>
      </c>
      <c r="V10" s="5">
        <f t="shared" si="2"/>
        <v>2036</v>
      </c>
      <c r="W10" s="5">
        <f t="shared" si="2"/>
        <v>2037</v>
      </c>
      <c r="X10" s="5">
        <f t="shared" si="2"/>
        <v>2038</v>
      </c>
      <c r="Y10" s="5">
        <f t="shared" si="2"/>
        <v>2039</v>
      </c>
      <c r="Z10" s="5">
        <f t="shared" si="2"/>
        <v>2040</v>
      </c>
      <c r="AA10" s="5">
        <f t="shared" si="2"/>
        <v>2041</v>
      </c>
      <c r="AB10" s="5">
        <f t="shared" si="2"/>
        <v>2042</v>
      </c>
      <c r="AC10" s="5">
        <f t="shared" si="2"/>
        <v>2043</v>
      </c>
      <c r="AD10" s="5">
        <f t="shared" si="2"/>
        <v>2044</v>
      </c>
      <c r="AE10" s="5">
        <f t="shared" si="2"/>
        <v>2045</v>
      </c>
      <c r="AF10" s="5">
        <f t="shared" si="2"/>
        <v>2046</v>
      </c>
      <c r="AG10" s="5">
        <f t="shared" si="2"/>
        <v>2047</v>
      </c>
      <c r="AH10" s="5">
        <f t="shared" si="2"/>
        <v>2048</v>
      </c>
      <c r="AI10" s="5">
        <f t="shared" si="2"/>
        <v>2049</v>
      </c>
      <c r="AJ10" s="5">
        <f t="shared" si="2"/>
        <v>2050</v>
      </c>
      <c r="AK10" s="5">
        <f t="shared" si="2"/>
        <v>2051</v>
      </c>
      <c r="AL10" s="5">
        <f t="shared" si="2"/>
        <v>2052</v>
      </c>
      <c r="AM10" s="5">
        <f t="shared" si="2"/>
        <v>2053</v>
      </c>
      <c r="AN10" s="5">
        <f t="shared" si="2"/>
        <v>2054</v>
      </c>
      <c r="AO10" s="5">
        <f t="shared" si="2"/>
        <v>2055</v>
      </c>
      <c r="AP10" s="5">
        <f t="shared" si="2"/>
        <v>2056</v>
      </c>
      <c r="AQ10" s="5">
        <f t="shared" si="2"/>
        <v>2057</v>
      </c>
      <c r="AR10" s="5">
        <f t="shared" si="2"/>
        <v>2058</v>
      </c>
      <c r="AS10" s="5">
        <f t="shared" si="2"/>
        <v>2059</v>
      </c>
      <c r="AT10" s="5">
        <f t="shared" si="2"/>
        <v>2060</v>
      </c>
      <c r="AU10" s="5">
        <f t="shared" si="2"/>
        <v>2061</v>
      </c>
      <c r="AV10" s="5">
        <f t="shared" si="2"/>
        <v>2062</v>
      </c>
      <c r="AW10" s="5">
        <f t="shared" si="2"/>
        <v>2063</v>
      </c>
      <c r="AX10" s="5">
        <f t="shared" si="2"/>
        <v>2064</v>
      </c>
      <c r="AY10" s="5">
        <f t="shared" si="2"/>
        <v>2065</v>
      </c>
      <c r="AZ10" s="5">
        <f t="shared" si="2"/>
        <v>2066</v>
      </c>
      <c r="BA10" s="5">
        <f t="shared" si="2"/>
        <v>2067</v>
      </c>
      <c r="BB10" s="5">
        <f t="shared" si="2"/>
        <v>2068</v>
      </c>
      <c r="BC10" s="5">
        <f t="shared" si="2"/>
        <v>2069</v>
      </c>
      <c r="BD10" s="5">
        <f t="shared" si="2"/>
        <v>2070</v>
      </c>
      <c r="BE10" s="5">
        <f t="shared" si="2"/>
        <v>2071</v>
      </c>
      <c r="BF10" s="5">
        <f t="shared" si="2"/>
        <v>2072</v>
      </c>
      <c r="BG10" s="5">
        <f t="shared" si="2"/>
        <v>2073</v>
      </c>
      <c r="BH10" s="5">
        <f t="shared" si="2"/>
        <v>2074</v>
      </c>
      <c r="BI10" s="5">
        <f t="shared" si="2"/>
        <v>2075</v>
      </c>
      <c r="BJ10" s="5">
        <f t="shared" si="2"/>
        <v>2076</v>
      </c>
      <c r="BK10" s="5">
        <f t="shared" si="2"/>
        <v>2077</v>
      </c>
      <c r="BL10" s="5">
        <f t="shared" si="2"/>
        <v>2078</v>
      </c>
      <c r="BM10" s="5">
        <f t="shared" si="2"/>
        <v>2079</v>
      </c>
      <c r="BN10" s="5">
        <f t="shared" si="2"/>
        <v>2080</v>
      </c>
      <c r="BO10" s="5">
        <f t="shared" si="2"/>
        <v>2081</v>
      </c>
      <c r="BP10" s="5">
        <f t="shared" si="2"/>
        <v>2082</v>
      </c>
      <c r="BQ10" s="5">
        <f t="shared" si="2"/>
        <v>2083</v>
      </c>
      <c r="BR10" s="5">
        <f t="shared" si="2"/>
        <v>2084</v>
      </c>
      <c r="BS10" s="5">
        <f t="shared" si="2"/>
        <v>2085</v>
      </c>
      <c r="BT10" s="665" t="s">
        <v>6</v>
      </c>
    </row>
    <row r="11" spans="1:73" ht="16.95" customHeight="1">
      <c r="A11" s="8" t="s">
        <v>13</v>
      </c>
      <c r="B11" s="9" t="s">
        <v>12</v>
      </c>
      <c r="C11" s="9" t="s">
        <v>81</v>
      </c>
      <c r="D11" s="9" t="s">
        <v>82</v>
      </c>
      <c r="E11" s="9" t="s">
        <v>15</v>
      </c>
      <c r="F11" s="11" t="s">
        <v>14</v>
      </c>
      <c r="G11" s="11" t="s">
        <v>16</v>
      </c>
      <c r="H11" s="11" t="s">
        <v>17</v>
      </c>
      <c r="I11" s="11" t="s">
        <v>18</v>
      </c>
      <c r="J11" s="11" t="s">
        <v>19</v>
      </c>
      <c r="K11" s="31" t="s">
        <v>83</v>
      </c>
      <c r="L11" s="43"/>
      <c r="M11" s="43"/>
      <c r="N11" s="37" t="str">
        <f t="shared" ref="N11" si="3">IF(AND(N$10=$C11,N$10=$D11),(($K11/$E11)*N$6),IF(AND(N$10&gt;=$C11,N$10&lt;=$D11),(($K11/$E11)*N$6),""))</f>
        <v/>
      </c>
      <c r="O11" s="43"/>
      <c r="P11" s="43"/>
      <c r="Q11" s="43"/>
      <c r="R11" s="43"/>
      <c r="S11" s="43"/>
      <c r="T11" s="43"/>
      <c r="U11" s="43"/>
      <c r="V11" s="43"/>
      <c r="W11" s="43"/>
      <c r="X11" s="43"/>
      <c r="Y11" s="43"/>
      <c r="Z11" s="43"/>
      <c r="AA11" s="43"/>
      <c r="AB11" s="43"/>
      <c r="AC11" s="43"/>
      <c r="AD11" s="43"/>
      <c r="AE11" s="44"/>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666"/>
    </row>
    <row r="12" spans="1:73" ht="16.95" customHeight="1">
      <c r="A12" s="129">
        <v>10</v>
      </c>
      <c r="B12" s="81" t="str">
        <f>INDEX('W-Distribution'!$C$6:$C$12,MATCH(Table1957810111213142361727281516171872023[[#This Row],[a]],'W-Distribution'!$B$6:$B$12,0))</f>
        <v>Zone 4N Additional 500 mm HDPE Feedermain</v>
      </c>
      <c r="C12" s="81">
        <f>INDEX('W-Distribution'!$F$6:$F$12,MATCH(Table1957810111213142361727281516171872023[[#This Row],[a]],'W-Distribution'!$B$6:$B$12,0))</f>
        <v>2026</v>
      </c>
      <c r="D12" s="106">
        <f>INDEX('W-Distribution'!$G$6:$G$12,MATCH(Table1957810111213142361727281516171872023[[#This Row],[a]],'W-Distribution'!$B$6:$B$12,0))</f>
        <v>2026</v>
      </c>
      <c r="E12" s="82">
        <f>(D12-C12)+1</f>
        <v>1</v>
      </c>
      <c r="F12" s="89">
        <f>INDEX('W-Distribution'!$K$6:$K$8,MATCH(Table1957810111213142361727281516171872023[[#This Row],[a]],'W-Distribution'!$B$6:$B$12,0))</f>
        <v>50000</v>
      </c>
      <c r="G12" s="83"/>
      <c r="H12" s="84">
        <f>+Table1957810111213142361727281516171872023[[#This Row],[f]]-Table1957810111213142361727281516171872023[[#This Row],[g]]</f>
        <v>50000</v>
      </c>
      <c r="I12" s="90">
        <f>INDEX('W-Distribution'!$H$6:$H$12,MATCH(Table1957810111213142361727281516171872023[[#This Row],[a]],'W-Distribution'!$B$6:$B$12,0))</f>
        <v>1</v>
      </c>
      <c r="J12" s="85">
        <f>1-Table1957810111213142361727281516171872023[[#This Row],[i]]</f>
        <v>0</v>
      </c>
      <c r="K12" s="86">
        <f>(Table1957810111213142361727281516171872023[[#This Row],[h]]*Table1957810111213142361727281516171872023[[#This Row],[i]])</f>
        <v>50000</v>
      </c>
      <c r="L12" s="37">
        <f t="shared" ref="L12:AA14" si="4">IF(AND(L$10=$C12,L$10=$D12),(($K12/$E12)*L$6),IF(AND(L$10&gt;=$C12,L$10&lt;=$D12),(($K12/$E12)*L$6),""))</f>
        <v>50000</v>
      </c>
      <c r="M12" s="37" t="str">
        <f t="shared" si="4"/>
        <v/>
      </c>
      <c r="N12" s="37" t="str">
        <f>IF(AND(N$10=$C12,N$10=$D12),(($K12/$E12)*N$6),IF(AND(N$10&gt;=$C12,N$10&lt;=$D12),(($K12/$E12)*N$6),""))</f>
        <v/>
      </c>
      <c r="O12" s="37" t="str">
        <f t="shared" si="4"/>
        <v/>
      </c>
      <c r="P12" s="37" t="str">
        <f t="shared" si="4"/>
        <v/>
      </c>
      <c r="Q12" s="37" t="str">
        <f t="shared" si="4"/>
        <v/>
      </c>
      <c r="R12" s="37" t="str">
        <f t="shared" si="4"/>
        <v/>
      </c>
      <c r="S12" s="37" t="str">
        <f t="shared" si="4"/>
        <v/>
      </c>
      <c r="T12" s="37" t="str">
        <f t="shared" si="4"/>
        <v/>
      </c>
      <c r="U12" s="37" t="str">
        <f t="shared" si="4"/>
        <v/>
      </c>
      <c r="V12" s="37" t="str">
        <f t="shared" si="4"/>
        <v/>
      </c>
      <c r="W12" s="37" t="str">
        <f t="shared" si="4"/>
        <v/>
      </c>
      <c r="X12" s="37" t="str">
        <f t="shared" si="4"/>
        <v/>
      </c>
      <c r="Y12" s="37" t="str">
        <f t="shared" si="4"/>
        <v/>
      </c>
      <c r="Z12" s="37" t="str">
        <f t="shared" si="4"/>
        <v/>
      </c>
      <c r="AA12" s="37" t="str">
        <f t="shared" si="4"/>
        <v/>
      </c>
      <c r="AB12" s="37" t="str">
        <f t="shared" ref="AB12:AQ14" si="5">IF(AND(AB$10=$C12,AB$10=$D12),(($K12/$E12)*AB$6),IF(AND(AB$10&gt;=$C12,AB$10&lt;=$D12),(($K12/$E12)*AB$6),""))</f>
        <v/>
      </c>
      <c r="AC12" s="37" t="str">
        <f t="shared" si="5"/>
        <v/>
      </c>
      <c r="AD12" s="37" t="str">
        <f t="shared" si="5"/>
        <v/>
      </c>
      <c r="AE12" s="37" t="str">
        <f t="shared" si="5"/>
        <v/>
      </c>
      <c r="AF12" s="37" t="str">
        <f t="shared" si="5"/>
        <v/>
      </c>
      <c r="AG12" s="37" t="str">
        <f t="shared" si="5"/>
        <v/>
      </c>
      <c r="AH12" s="37" t="str">
        <f t="shared" si="5"/>
        <v/>
      </c>
      <c r="AI12" s="37" t="str">
        <f t="shared" si="5"/>
        <v/>
      </c>
      <c r="AJ12" s="37" t="str">
        <f t="shared" si="5"/>
        <v/>
      </c>
      <c r="AK12" s="37" t="str">
        <f t="shared" si="5"/>
        <v/>
      </c>
      <c r="AL12" s="37" t="str">
        <f t="shared" si="5"/>
        <v/>
      </c>
      <c r="AM12" s="37" t="str">
        <f t="shared" si="5"/>
        <v/>
      </c>
      <c r="AN12" s="37" t="str">
        <f t="shared" si="5"/>
        <v/>
      </c>
      <c r="AO12" s="37" t="str">
        <f t="shared" si="5"/>
        <v/>
      </c>
      <c r="AP12" s="37" t="str">
        <f t="shared" si="5"/>
        <v/>
      </c>
      <c r="AQ12" s="37" t="str">
        <f t="shared" si="5"/>
        <v/>
      </c>
      <c r="AR12" s="37" t="str">
        <f t="shared" ref="AR12:BG14" si="6">IF(AND(AR$10=$C12,AR$10=$D12),(($K12/$E12)*AR$6),IF(AND(AR$10&gt;=$C12,AR$10&lt;=$D12),(($K12/$E12)*AR$6),""))</f>
        <v/>
      </c>
      <c r="AS12" s="37" t="str">
        <f t="shared" si="6"/>
        <v/>
      </c>
      <c r="AT12" s="37" t="str">
        <f t="shared" si="6"/>
        <v/>
      </c>
      <c r="AU12" s="37" t="str">
        <f t="shared" si="6"/>
        <v/>
      </c>
      <c r="AV12" s="37" t="str">
        <f t="shared" si="6"/>
        <v/>
      </c>
      <c r="AW12" s="37" t="str">
        <f t="shared" si="6"/>
        <v/>
      </c>
      <c r="AX12" s="37" t="str">
        <f t="shared" si="6"/>
        <v/>
      </c>
      <c r="AY12" s="37" t="str">
        <f t="shared" si="6"/>
        <v/>
      </c>
      <c r="AZ12" s="37" t="str">
        <f t="shared" si="6"/>
        <v/>
      </c>
      <c r="BA12" s="37" t="str">
        <f t="shared" si="6"/>
        <v/>
      </c>
      <c r="BB12" s="37" t="str">
        <f t="shared" si="6"/>
        <v/>
      </c>
      <c r="BC12" s="37" t="str">
        <f t="shared" si="6"/>
        <v/>
      </c>
      <c r="BD12" s="37" t="str">
        <f t="shared" si="6"/>
        <v/>
      </c>
      <c r="BE12" s="37" t="str">
        <f t="shared" si="6"/>
        <v/>
      </c>
      <c r="BF12" s="37" t="str">
        <f t="shared" si="6"/>
        <v/>
      </c>
      <c r="BG12" s="37" t="str">
        <f t="shared" si="6"/>
        <v/>
      </c>
      <c r="BH12" s="37" t="str">
        <f t="shared" ref="BH12:BS14" si="7">IF(AND(BH$10=$C12,BH$10=$D12),(($K12/$E12)*BH$6),IF(AND(BH$10&gt;=$C12,BH$10&lt;=$D12),(($K12/$E12)*BH$6),""))</f>
        <v/>
      </c>
      <c r="BI12" s="37" t="str">
        <f t="shared" si="7"/>
        <v/>
      </c>
      <c r="BJ12" s="37" t="str">
        <f t="shared" si="7"/>
        <v/>
      </c>
      <c r="BK12" s="37" t="str">
        <f t="shared" si="7"/>
        <v/>
      </c>
      <c r="BL12" s="37" t="str">
        <f t="shared" si="7"/>
        <v/>
      </c>
      <c r="BM12" s="37" t="str">
        <f t="shared" si="7"/>
        <v/>
      </c>
      <c r="BN12" s="37" t="str">
        <f t="shared" si="7"/>
        <v/>
      </c>
      <c r="BO12" s="37" t="str">
        <f t="shared" si="7"/>
        <v/>
      </c>
      <c r="BP12" s="37" t="str">
        <f t="shared" si="7"/>
        <v/>
      </c>
      <c r="BQ12" s="37" t="str">
        <f t="shared" si="7"/>
        <v/>
      </c>
      <c r="BR12" s="37" t="str">
        <f t="shared" si="7"/>
        <v/>
      </c>
      <c r="BS12" s="37" t="str">
        <f t="shared" si="7"/>
        <v/>
      </c>
      <c r="BT12" s="667">
        <f>SUM(L12:BS12)</f>
        <v>50000</v>
      </c>
    </row>
    <row r="13" spans="1:73" ht="16.95" customHeight="1">
      <c r="A13" s="129">
        <v>13</v>
      </c>
      <c r="B13" s="106" t="str">
        <f>INDEX('W-Distribution'!$C$6:$C$12,MATCH(Table1957810111213142361727281516171872023[[#This Row],[a]],'W-Distribution'!$B$6:$B$12,0))</f>
        <v>Sheep River Heights Pressure Reducing Valve</v>
      </c>
      <c r="C13" s="106">
        <f>INDEX('W-Distribution'!$F$6:$F$12,MATCH(Table1957810111213142361727281516171872023[[#This Row],[a]],'W-Distribution'!$B$6:$B$12,0))</f>
        <v>2030</v>
      </c>
      <c r="D13" s="106">
        <f>INDEX('W-Distribution'!$G$6:$G$12,MATCH(Table1957810111213142361727281516171872023[[#This Row],[a]],'W-Distribution'!$B$6:$B$12,0))</f>
        <v>2030</v>
      </c>
      <c r="E13" s="107">
        <f t="shared" ref="E13" si="8">(D13-C13)+1</f>
        <v>1</v>
      </c>
      <c r="F13" s="91">
        <f>INDEX('W-Distribution'!$K$6:$K$8,MATCH(Table1957810111213142361727281516171872023[[#This Row],[a]],'W-Distribution'!$B$6:$B$12,0))</f>
        <v>652438.125</v>
      </c>
      <c r="G13" s="83"/>
      <c r="H13" s="87">
        <f>+Table1957810111213142361727281516171872023[[#This Row],[f]]-Table1957810111213142361727281516171872023[[#This Row],[g]]</f>
        <v>652438.125</v>
      </c>
      <c r="I13" s="92">
        <f>INDEX('W-Distribution'!$H$6:$H$12,MATCH(Table1957810111213142361727281516171872023[[#This Row],[a]],'W-Distribution'!$B$6:$B$12,0))</f>
        <v>1</v>
      </c>
      <c r="J13" s="85">
        <f>1-Table1957810111213142361727281516171872023[[#This Row],[i]]</f>
        <v>0</v>
      </c>
      <c r="K13" s="88">
        <f>(Table1957810111213142361727281516171872023[[#This Row],[h]]*Table1957810111213142361727281516171872023[[#This Row],[i]])</f>
        <v>652438.125</v>
      </c>
      <c r="L13" s="37" t="str">
        <f t="shared" si="4"/>
        <v/>
      </c>
      <c r="M13" s="37" t="str">
        <f t="shared" si="4"/>
        <v/>
      </c>
      <c r="N13" s="37" t="str">
        <f t="shared" si="4"/>
        <v/>
      </c>
      <c r="O13" s="37" t="str">
        <f>IF(AND(O$10=$C13,O$10=$D13),(($K13/$E13)*O$6),IF(AND(O$10&gt;=$C13,O$10&lt;=$D13),(($K13/$E13)*O$6),""))</f>
        <v/>
      </c>
      <c r="P13" s="37">
        <f t="shared" si="4"/>
        <v>720169.61271020491</v>
      </c>
      <c r="Q13" s="37" t="str">
        <f t="shared" si="4"/>
        <v/>
      </c>
      <c r="R13" s="37" t="str">
        <f t="shared" si="4"/>
        <v/>
      </c>
      <c r="S13" s="37" t="str">
        <f t="shared" si="4"/>
        <v/>
      </c>
      <c r="T13" s="37" t="str">
        <f t="shared" si="4"/>
        <v/>
      </c>
      <c r="U13" s="37" t="str">
        <f t="shared" si="4"/>
        <v/>
      </c>
      <c r="V13" s="37" t="str">
        <f t="shared" si="4"/>
        <v/>
      </c>
      <c r="W13" s="37" t="str">
        <f t="shared" si="4"/>
        <v/>
      </c>
      <c r="X13" s="37" t="str">
        <f t="shared" si="4"/>
        <v/>
      </c>
      <c r="Y13" s="37" t="str">
        <f t="shared" si="4"/>
        <v/>
      </c>
      <c r="Z13" s="37" t="str">
        <f t="shared" si="4"/>
        <v/>
      </c>
      <c r="AA13" s="37" t="str">
        <f t="shared" si="4"/>
        <v/>
      </c>
      <c r="AB13" s="37" t="str">
        <f t="shared" si="5"/>
        <v/>
      </c>
      <c r="AC13" s="37" t="str">
        <f t="shared" si="5"/>
        <v/>
      </c>
      <c r="AD13" s="37" t="str">
        <f t="shared" si="5"/>
        <v/>
      </c>
      <c r="AE13" s="37" t="str">
        <f t="shared" si="5"/>
        <v/>
      </c>
      <c r="AF13" s="37" t="str">
        <f t="shared" si="5"/>
        <v/>
      </c>
      <c r="AG13" s="37" t="str">
        <f t="shared" si="5"/>
        <v/>
      </c>
      <c r="AH13" s="37" t="str">
        <f t="shared" si="5"/>
        <v/>
      </c>
      <c r="AI13" s="37" t="str">
        <f t="shared" si="5"/>
        <v/>
      </c>
      <c r="AJ13" s="37" t="str">
        <f t="shared" si="5"/>
        <v/>
      </c>
      <c r="AK13" s="37" t="str">
        <f t="shared" si="5"/>
        <v/>
      </c>
      <c r="AL13" s="37" t="str">
        <f t="shared" si="5"/>
        <v/>
      </c>
      <c r="AM13" s="37" t="str">
        <f t="shared" si="5"/>
        <v/>
      </c>
      <c r="AN13" s="37" t="str">
        <f t="shared" si="5"/>
        <v/>
      </c>
      <c r="AO13" s="37" t="str">
        <f t="shared" si="5"/>
        <v/>
      </c>
      <c r="AP13" s="37" t="str">
        <f t="shared" si="5"/>
        <v/>
      </c>
      <c r="AQ13" s="37" t="str">
        <f t="shared" si="5"/>
        <v/>
      </c>
      <c r="AR13" s="37" t="str">
        <f t="shared" si="6"/>
        <v/>
      </c>
      <c r="AS13" s="37" t="str">
        <f t="shared" si="6"/>
        <v/>
      </c>
      <c r="AT13" s="37" t="str">
        <f t="shared" si="6"/>
        <v/>
      </c>
      <c r="AU13" s="37" t="str">
        <f t="shared" si="6"/>
        <v/>
      </c>
      <c r="AV13" s="37" t="str">
        <f t="shared" si="6"/>
        <v/>
      </c>
      <c r="AW13" s="37" t="str">
        <f t="shared" si="6"/>
        <v/>
      </c>
      <c r="AX13" s="37" t="str">
        <f t="shared" si="6"/>
        <v/>
      </c>
      <c r="AY13" s="37" t="str">
        <f t="shared" si="6"/>
        <v/>
      </c>
      <c r="AZ13" s="37" t="str">
        <f t="shared" si="6"/>
        <v/>
      </c>
      <c r="BA13" s="37" t="str">
        <f t="shared" si="6"/>
        <v/>
      </c>
      <c r="BB13" s="37" t="str">
        <f t="shared" si="6"/>
        <v/>
      </c>
      <c r="BC13" s="37" t="str">
        <f t="shared" si="6"/>
        <v/>
      </c>
      <c r="BD13" s="37" t="str">
        <f t="shared" si="6"/>
        <v/>
      </c>
      <c r="BE13" s="37" t="str">
        <f t="shared" si="6"/>
        <v/>
      </c>
      <c r="BF13" s="37" t="str">
        <f t="shared" si="6"/>
        <v/>
      </c>
      <c r="BG13" s="37" t="str">
        <f t="shared" si="6"/>
        <v/>
      </c>
      <c r="BH13" s="37" t="str">
        <f t="shared" si="7"/>
        <v/>
      </c>
      <c r="BI13" s="37" t="str">
        <f t="shared" si="7"/>
        <v/>
      </c>
      <c r="BJ13" s="37" t="str">
        <f t="shared" si="7"/>
        <v/>
      </c>
      <c r="BK13" s="37" t="str">
        <f t="shared" si="7"/>
        <v/>
      </c>
      <c r="BL13" s="37" t="str">
        <f t="shared" si="7"/>
        <v/>
      </c>
      <c r="BM13" s="37" t="str">
        <f t="shared" si="7"/>
        <v/>
      </c>
      <c r="BN13" s="37" t="str">
        <f t="shared" si="7"/>
        <v/>
      </c>
      <c r="BO13" s="37" t="str">
        <f t="shared" si="7"/>
        <v/>
      </c>
      <c r="BP13" s="37" t="str">
        <f t="shared" si="7"/>
        <v/>
      </c>
      <c r="BQ13" s="37" t="str">
        <f t="shared" si="7"/>
        <v/>
      </c>
      <c r="BR13" s="37" t="str">
        <f t="shared" si="7"/>
        <v/>
      </c>
      <c r="BS13" s="37" t="str">
        <f t="shared" si="7"/>
        <v/>
      </c>
      <c r="BT13" s="667">
        <f t="shared" ref="BT13:BT14" si="9">SUM(L13:BS13)</f>
        <v>720169.61271020491</v>
      </c>
    </row>
    <row r="14" spans="1:73" ht="16.95" customHeight="1" thickBot="1">
      <c r="A14" s="129">
        <v>14</v>
      </c>
      <c r="B14" s="81" t="str">
        <f>INDEX('W-Distribution'!$C$6:$C$12,MATCH(Table1957810111213142361727281516171872023[[#This Row],[a]],'W-Distribution'!$B$6:$B$12,0))</f>
        <v>Sheep River CT Pressure Reducing Valve</v>
      </c>
      <c r="C14" s="108">
        <f>INDEX('W-Distribution'!$F$6:$F$12,MATCH(Table1957810111213142361727281516171872023[[#This Row],[a]],'W-Distribution'!$B$6:$B$12,0))</f>
        <v>2030</v>
      </c>
      <c r="D14" s="106">
        <f>INDEX('W-Distribution'!$G$6:$G$12,MATCH(Table1957810111213142361727281516171872023[[#This Row],[a]],'W-Distribution'!$B$6:$B$12,0))</f>
        <v>2030</v>
      </c>
      <c r="E14" s="110">
        <f>(D14-C14)+1</f>
        <v>1</v>
      </c>
      <c r="F14" s="111">
        <f>INDEX('W-Distribution'!$K$6:$K$8,MATCH(Table1957810111213142361727281516171872023[[#This Row],[a]],'W-Distribution'!$B$6:$B$12,0))</f>
        <v>330946.875</v>
      </c>
      <c r="G14" s="112"/>
      <c r="H14" s="113">
        <f>+Table1957810111213142361727281516171872023[[#This Row],[f]]-Table1957810111213142361727281516171872023[[#This Row],[g]]</f>
        <v>330946.875</v>
      </c>
      <c r="I14" s="114">
        <f>INDEX('W-Distribution'!$H$6:$H$12,MATCH(Table1957810111213142361727281516171872023[[#This Row],[a]],'W-Distribution'!$B$6:$B$12,0))</f>
        <v>1</v>
      </c>
      <c r="J14" s="115">
        <f>1-Table1957810111213142361727281516171872023[[#This Row],[i]]</f>
        <v>0</v>
      </c>
      <c r="K14" s="116">
        <f>(Table1957810111213142361727281516171872023[[#This Row],[h]]*Table1957810111213142361727281516171872023[[#This Row],[i]])</f>
        <v>330946.875</v>
      </c>
      <c r="L14" s="37" t="str">
        <f t="shared" si="4"/>
        <v/>
      </c>
      <c r="M14" s="37" t="str">
        <f t="shared" si="4"/>
        <v/>
      </c>
      <c r="N14" s="37" t="str">
        <f t="shared" si="4"/>
        <v/>
      </c>
      <c r="O14" s="37" t="str">
        <f t="shared" si="4"/>
        <v/>
      </c>
      <c r="P14" s="37">
        <f t="shared" si="4"/>
        <v>365303.42673706048</v>
      </c>
      <c r="Q14" s="37" t="str">
        <f t="shared" si="4"/>
        <v/>
      </c>
      <c r="R14" s="37" t="str">
        <f t="shared" si="4"/>
        <v/>
      </c>
      <c r="S14" s="37" t="str">
        <f t="shared" si="4"/>
        <v/>
      </c>
      <c r="T14" s="37" t="str">
        <f t="shared" si="4"/>
        <v/>
      </c>
      <c r="U14" s="37" t="str">
        <f t="shared" si="4"/>
        <v/>
      </c>
      <c r="V14" s="37" t="str">
        <f t="shared" si="4"/>
        <v/>
      </c>
      <c r="W14" s="37" t="str">
        <f t="shared" si="4"/>
        <v/>
      </c>
      <c r="X14" s="37" t="str">
        <f t="shared" si="4"/>
        <v/>
      </c>
      <c r="Y14" s="37" t="str">
        <f t="shared" si="4"/>
        <v/>
      </c>
      <c r="Z14" s="37" t="str">
        <f t="shared" si="4"/>
        <v/>
      </c>
      <c r="AA14" s="37" t="str">
        <f t="shared" si="4"/>
        <v/>
      </c>
      <c r="AB14" s="37" t="str">
        <f t="shared" si="5"/>
        <v/>
      </c>
      <c r="AC14" s="37" t="str">
        <f t="shared" si="5"/>
        <v/>
      </c>
      <c r="AD14" s="37" t="str">
        <f t="shared" si="5"/>
        <v/>
      </c>
      <c r="AE14" s="37" t="str">
        <f t="shared" si="5"/>
        <v/>
      </c>
      <c r="AF14" s="37" t="str">
        <f t="shared" si="5"/>
        <v/>
      </c>
      <c r="AG14" s="37" t="str">
        <f t="shared" si="5"/>
        <v/>
      </c>
      <c r="AH14" s="37" t="str">
        <f t="shared" si="5"/>
        <v/>
      </c>
      <c r="AI14" s="37" t="str">
        <f t="shared" si="5"/>
        <v/>
      </c>
      <c r="AJ14" s="37" t="str">
        <f t="shared" si="5"/>
        <v/>
      </c>
      <c r="AK14" s="37" t="str">
        <f t="shared" si="5"/>
        <v/>
      </c>
      <c r="AL14" s="37" t="str">
        <f t="shared" si="5"/>
        <v/>
      </c>
      <c r="AM14" s="37" t="str">
        <f t="shared" si="5"/>
        <v/>
      </c>
      <c r="AN14" s="37" t="str">
        <f t="shared" si="5"/>
        <v/>
      </c>
      <c r="AO14" s="37" t="str">
        <f t="shared" si="5"/>
        <v/>
      </c>
      <c r="AP14" s="37" t="str">
        <f t="shared" si="5"/>
        <v/>
      </c>
      <c r="AQ14" s="37" t="str">
        <f t="shared" si="5"/>
        <v/>
      </c>
      <c r="AR14" s="37" t="str">
        <f t="shared" si="6"/>
        <v/>
      </c>
      <c r="AS14" s="37" t="str">
        <f t="shared" si="6"/>
        <v/>
      </c>
      <c r="AT14" s="37" t="str">
        <f t="shared" si="6"/>
        <v/>
      </c>
      <c r="AU14" s="37" t="str">
        <f t="shared" si="6"/>
        <v/>
      </c>
      <c r="AV14" s="37" t="str">
        <f t="shared" si="6"/>
        <v/>
      </c>
      <c r="AW14" s="37" t="str">
        <f t="shared" si="6"/>
        <v/>
      </c>
      <c r="AX14" s="37" t="str">
        <f t="shared" si="6"/>
        <v/>
      </c>
      <c r="AY14" s="37" t="str">
        <f t="shared" si="6"/>
        <v/>
      </c>
      <c r="AZ14" s="37" t="str">
        <f t="shared" si="6"/>
        <v/>
      </c>
      <c r="BA14" s="37" t="str">
        <f t="shared" si="6"/>
        <v/>
      </c>
      <c r="BB14" s="37" t="str">
        <f t="shared" si="6"/>
        <v/>
      </c>
      <c r="BC14" s="37" t="str">
        <f t="shared" si="6"/>
        <v/>
      </c>
      <c r="BD14" s="37" t="str">
        <f t="shared" si="6"/>
        <v/>
      </c>
      <c r="BE14" s="37" t="str">
        <f t="shared" si="6"/>
        <v/>
      </c>
      <c r="BF14" s="37" t="str">
        <f t="shared" si="6"/>
        <v/>
      </c>
      <c r="BG14" s="37" t="str">
        <f t="shared" si="6"/>
        <v/>
      </c>
      <c r="BH14" s="37" t="str">
        <f t="shared" si="7"/>
        <v/>
      </c>
      <c r="BI14" s="37" t="str">
        <f t="shared" si="7"/>
        <v/>
      </c>
      <c r="BJ14" s="37" t="str">
        <f t="shared" si="7"/>
        <v/>
      </c>
      <c r="BK14" s="37" t="str">
        <f t="shared" si="7"/>
        <v/>
      </c>
      <c r="BL14" s="37" t="str">
        <f t="shared" si="7"/>
        <v/>
      </c>
      <c r="BM14" s="37" t="str">
        <f t="shared" si="7"/>
        <v/>
      </c>
      <c r="BN14" s="37" t="str">
        <f t="shared" si="7"/>
        <v/>
      </c>
      <c r="BO14" s="37" t="str">
        <f t="shared" si="7"/>
        <v/>
      </c>
      <c r="BP14" s="37" t="str">
        <f t="shared" si="7"/>
        <v/>
      </c>
      <c r="BQ14" s="37" t="str">
        <f t="shared" si="7"/>
        <v/>
      </c>
      <c r="BR14" s="37" t="str">
        <f t="shared" si="7"/>
        <v/>
      </c>
      <c r="BS14" s="37" t="str">
        <f t="shared" si="7"/>
        <v/>
      </c>
      <c r="BT14" s="667">
        <f t="shared" si="9"/>
        <v>365303.42673706048</v>
      </c>
    </row>
    <row r="15" spans="1:73" ht="15.6" thickTop="1" thickBot="1">
      <c r="A15" s="6"/>
      <c r="B15" s="6"/>
      <c r="C15" s="6"/>
      <c r="D15" s="6"/>
      <c r="E15" s="6"/>
      <c r="F15" s="12">
        <f>SUM(Table1957810111213142361727281516171872023[f])</f>
        <v>1033385</v>
      </c>
      <c r="G15" s="12"/>
      <c r="H15" s="12"/>
      <c r="I15" s="12"/>
      <c r="J15" s="12"/>
      <c r="K15" s="7">
        <f>SUM(Table1957810111213142361727281516171872023[k])</f>
        <v>1033385</v>
      </c>
      <c r="L15" s="7">
        <f t="shared" ref="L15:AQ15" si="10">+SUM(L12:L14)</f>
        <v>50000</v>
      </c>
      <c r="M15" s="7">
        <f t="shared" si="10"/>
        <v>0</v>
      </c>
      <c r="N15" s="7">
        <f t="shared" si="10"/>
        <v>0</v>
      </c>
      <c r="O15" s="7">
        <f t="shared" si="10"/>
        <v>0</v>
      </c>
      <c r="P15" s="7">
        <f t="shared" si="10"/>
        <v>1085473.0394472654</v>
      </c>
      <c r="Q15" s="7">
        <f t="shared" si="10"/>
        <v>0</v>
      </c>
      <c r="R15" s="7">
        <f t="shared" si="10"/>
        <v>0</v>
      </c>
      <c r="S15" s="7">
        <f t="shared" si="10"/>
        <v>0</v>
      </c>
      <c r="T15" s="7">
        <f t="shared" si="10"/>
        <v>0</v>
      </c>
      <c r="U15" s="7">
        <f t="shared" si="10"/>
        <v>0</v>
      </c>
      <c r="V15" s="7">
        <f t="shared" si="10"/>
        <v>0</v>
      </c>
      <c r="W15" s="7">
        <f t="shared" si="10"/>
        <v>0</v>
      </c>
      <c r="X15" s="7">
        <f t="shared" si="10"/>
        <v>0</v>
      </c>
      <c r="Y15" s="7">
        <f t="shared" si="10"/>
        <v>0</v>
      </c>
      <c r="Z15" s="7">
        <f t="shared" si="10"/>
        <v>0</v>
      </c>
      <c r="AA15" s="7">
        <f t="shared" si="10"/>
        <v>0</v>
      </c>
      <c r="AB15" s="7">
        <f t="shared" si="10"/>
        <v>0</v>
      </c>
      <c r="AC15" s="7">
        <f t="shared" si="10"/>
        <v>0</v>
      </c>
      <c r="AD15" s="7">
        <f t="shared" si="10"/>
        <v>0</v>
      </c>
      <c r="AE15" s="7">
        <f t="shared" si="10"/>
        <v>0</v>
      </c>
      <c r="AF15" s="7">
        <f t="shared" si="10"/>
        <v>0</v>
      </c>
      <c r="AG15" s="7">
        <f t="shared" si="10"/>
        <v>0</v>
      </c>
      <c r="AH15" s="7">
        <f t="shared" si="10"/>
        <v>0</v>
      </c>
      <c r="AI15" s="7">
        <f t="shared" si="10"/>
        <v>0</v>
      </c>
      <c r="AJ15" s="7">
        <f t="shared" si="10"/>
        <v>0</v>
      </c>
      <c r="AK15" s="7">
        <f t="shared" si="10"/>
        <v>0</v>
      </c>
      <c r="AL15" s="7">
        <f t="shared" si="10"/>
        <v>0</v>
      </c>
      <c r="AM15" s="7">
        <f t="shared" si="10"/>
        <v>0</v>
      </c>
      <c r="AN15" s="7">
        <f t="shared" si="10"/>
        <v>0</v>
      </c>
      <c r="AO15" s="7">
        <f t="shared" si="10"/>
        <v>0</v>
      </c>
      <c r="AP15" s="7">
        <f t="shared" si="10"/>
        <v>0</v>
      </c>
      <c r="AQ15" s="7">
        <f t="shared" si="10"/>
        <v>0</v>
      </c>
      <c r="AR15" s="7">
        <f t="shared" ref="AR15:BS15" si="11">+SUM(AR12:AR14)</f>
        <v>0</v>
      </c>
      <c r="AS15" s="7">
        <f t="shared" si="11"/>
        <v>0</v>
      </c>
      <c r="AT15" s="7">
        <f t="shared" si="11"/>
        <v>0</v>
      </c>
      <c r="AU15" s="7">
        <f t="shared" si="11"/>
        <v>0</v>
      </c>
      <c r="AV15" s="7">
        <f t="shared" si="11"/>
        <v>0</v>
      </c>
      <c r="AW15" s="7">
        <f t="shared" si="11"/>
        <v>0</v>
      </c>
      <c r="AX15" s="7">
        <f t="shared" si="11"/>
        <v>0</v>
      </c>
      <c r="AY15" s="7">
        <f t="shared" si="11"/>
        <v>0</v>
      </c>
      <c r="AZ15" s="7">
        <f t="shared" si="11"/>
        <v>0</v>
      </c>
      <c r="BA15" s="7">
        <f t="shared" si="11"/>
        <v>0</v>
      </c>
      <c r="BB15" s="7">
        <f t="shared" si="11"/>
        <v>0</v>
      </c>
      <c r="BC15" s="7">
        <f t="shared" si="11"/>
        <v>0</v>
      </c>
      <c r="BD15" s="7">
        <f t="shared" si="11"/>
        <v>0</v>
      </c>
      <c r="BE15" s="7">
        <f t="shared" si="11"/>
        <v>0</v>
      </c>
      <c r="BF15" s="7">
        <f t="shared" si="11"/>
        <v>0</v>
      </c>
      <c r="BG15" s="7">
        <f t="shared" si="11"/>
        <v>0</v>
      </c>
      <c r="BH15" s="7">
        <f t="shared" si="11"/>
        <v>0</v>
      </c>
      <c r="BI15" s="7">
        <f t="shared" si="11"/>
        <v>0</v>
      </c>
      <c r="BJ15" s="7">
        <f t="shared" si="11"/>
        <v>0</v>
      </c>
      <c r="BK15" s="7">
        <f t="shared" si="11"/>
        <v>0</v>
      </c>
      <c r="BL15" s="7">
        <f t="shared" si="11"/>
        <v>0</v>
      </c>
      <c r="BM15" s="7">
        <f t="shared" si="11"/>
        <v>0</v>
      </c>
      <c r="BN15" s="7">
        <f t="shared" si="11"/>
        <v>0</v>
      </c>
      <c r="BO15" s="7">
        <f t="shared" si="11"/>
        <v>0</v>
      </c>
      <c r="BP15" s="7">
        <f t="shared" si="11"/>
        <v>0</v>
      </c>
      <c r="BQ15" s="7">
        <f t="shared" si="11"/>
        <v>0</v>
      </c>
      <c r="BR15" s="7">
        <f t="shared" si="11"/>
        <v>0</v>
      </c>
      <c r="BS15" s="7">
        <f t="shared" si="11"/>
        <v>0</v>
      </c>
      <c r="BT15" s="668">
        <f>SUM(BT12:BT14)</f>
        <v>1135473.0394472654</v>
      </c>
    </row>
    <row r="19" spans="1:16" ht="17.55" customHeight="1" thickBot="1">
      <c r="G19"/>
      <c r="H19"/>
      <c r="I19"/>
    </row>
    <row r="20" spans="1:16">
      <c r="A20" s="93"/>
      <c r="B20" s="17">
        <v>1</v>
      </c>
      <c r="C20" s="18">
        <v>2</v>
      </c>
      <c r="D20" s="18">
        <v>3</v>
      </c>
      <c r="E20" s="18">
        <v>4</v>
      </c>
      <c r="F20" s="18">
        <v>5</v>
      </c>
      <c r="G20" s="18">
        <v>6</v>
      </c>
      <c r="H20" s="18"/>
      <c r="I20" s="18">
        <v>7</v>
      </c>
      <c r="J20" s="18">
        <v>8</v>
      </c>
      <c r="K20" s="18">
        <v>9</v>
      </c>
      <c r="L20" s="22">
        <v>10</v>
      </c>
      <c r="M20" s="23">
        <v>11</v>
      </c>
      <c r="N20" s="24">
        <v>12</v>
      </c>
    </row>
    <row r="21" spans="1:16" ht="18.75" customHeight="1">
      <c r="A21" s="94"/>
      <c r="B21" s="63" t="s">
        <v>39</v>
      </c>
      <c r="C21" s="736" t="s">
        <v>38</v>
      </c>
      <c r="D21" s="736" t="s">
        <v>198</v>
      </c>
      <c r="E21" s="736" t="s">
        <v>203</v>
      </c>
      <c r="F21" s="736" t="s">
        <v>179</v>
      </c>
      <c r="G21" s="742" t="s">
        <v>37</v>
      </c>
      <c r="H21" s="20" t="s">
        <v>52</v>
      </c>
      <c r="I21" s="21"/>
      <c r="J21" s="736" t="s">
        <v>36</v>
      </c>
      <c r="K21" s="736" t="s">
        <v>35</v>
      </c>
      <c r="L21" s="740" t="s">
        <v>204</v>
      </c>
      <c r="M21" s="741"/>
      <c r="N21" s="743" t="s">
        <v>34</v>
      </c>
    </row>
    <row r="22" spans="1:16">
      <c r="A22" s="94"/>
      <c r="B22" s="63"/>
      <c r="C22" s="736"/>
      <c r="D22" s="736"/>
      <c r="E22" s="736"/>
      <c r="F22" s="736"/>
      <c r="G22" s="742"/>
      <c r="H22" s="20"/>
      <c r="I22" s="200">
        <v>3444.5159477959314</v>
      </c>
      <c r="J22" s="736"/>
      <c r="K22" s="736"/>
      <c r="L22" s="740"/>
      <c r="M22" s="741"/>
      <c r="N22" s="743"/>
    </row>
    <row r="23" spans="1:16">
      <c r="A23" s="93"/>
      <c r="B23" s="19"/>
      <c r="C23" s="736"/>
      <c r="D23" s="736"/>
      <c r="E23" s="736"/>
      <c r="F23" s="736"/>
      <c r="G23" s="742"/>
      <c r="H23" s="20"/>
      <c r="I23" s="20"/>
      <c r="J23" s="20"/>
      <c r="K23" s="47"/>
      <c r="L23" s="16"/>
      <c r="M23" s="15"/>
      <c r="N23" s="743"/>
    </row>
    <row r="24" spans="1:16">
      <c r="A24" s="93"/>
      <c r="B24" s="19"/>
      <c r="C24" s="736"/>
      <c r="D24" s="736"/>
      <c r="E24" s="736"/>
      <c r="F24" s="47"/>
      <c r="G24" s="20"/>
      <c r="H24" s="20"/>
      <c r="I24" s="75"/>
      <c r="J24" s="20"/>
      <c r="K24" s="20"/>
      <c r="L24" s="46" t="s">
        <v>7</v>
      </c>
      <c r="M24" s="76" t="s">
        <v>8</v>
      </c>
      <c r="N24" s="743"/>
    </row>
    <row r="25" spans="1:16">
      <c r="A25" s="95"/>
      <c r="B25" s="77"/>
      <c r="C25" s="736"/>
      <c r="D25" s="170" t="s">
        <v>7</v>
      </c>
      <c r="E25" s="47" t="s">
        <v>8</v>
      </c>
      <c r="F25" s="47" t="s">
        <v>8</v>
      </c>
      <c r="G25" s="20"/>
      <c r="H25" s="20"/>
      <c r="I25" s="78" t="s">
        <v>11</v>
      </c>
      <c r="J25" s="20"/>
      <c r="K25" s="20"/>
      <c r="L25" s="565">
        <f>Assumptions!$B$6</f>
        <v>2.6740000000000003E-2</v>
      </c>
      <c r="M25" s="79">
        <f>+Assumptions!$B$7</f>
        <v>4.496E-2</v>
      </c>
      <c r="N25" s="743"/>
    </row>
    <row r="26" spans="1:16" ht="15" thickBot="1">
      <c r="A26" s="95"/>
      <c r="B26" s="182"/>
      <c r="C26" s="737"/>
      <c r="D26" s="184"/>
      <c r="E26" s="184"/>
      <c r="F26" s="185"/>
      <c r="G26" s="184"/>
      <c r="H26" s="184"/>
      <c r="I26" s="184">
        <f>L10</f>
        <v>2026</v>
      </c>
      <c r="J26" s="186" t="s">
        <v>199</v>
      </c>
      <c r="K26" s="186" t="s">
        <v>200</v>
      </c>
      <c r="L26" s="187"/>
      <c r="M26" s="188"/>
      <c r="N26" s="189" t="s">
        <v>201</v>
      </c>
    </row>
    <row r="27" spans="1:16" ht="15" hidden="1" thickBot="1">
      <c r="B27" s="181"/>
      <c r="C27" s="190"/>
      <c r="D27" s="190"/>
      <c r="E27" s="190"/>
      <c r="F27" s="190"/>
      <c r="G27" s="191"/>
      <c r="H27" s="191"/>
      <c r="I27" s="190"/>
      <c r="J27" s="190"/>
      <c r="K27" s="190"/>
      <c r="L27" s="190"/>
      <c r="M27" s="190"/>
      <c r="N27" s="192"/>
    </row>
    <row r="28" spans="1:16" ht="15" hidden="1" thickBot="1">
      <c r="B28" s="154">
        <v>2023</v>
      </c>
      <c r="C28" s="80"/>
      <c r="D28" s="80"/>
      <c r="E28" s="80"/>
      <c r="F28" s="80"/>
      <c r="G28" s="80"/>
      <c r="H28" s="80"/>
      <c r="I28" s="80"/>
      <c r="J28" s="146"/>
      <c r="K28" s="146"/>
      <c r="L28" s="146"/>
      <c r="M28" s="179"/>
      <c r="N28" s="180"/>
    </row>
    <row r="29" spans="1:16" ht="15" hidden="1" thickBot="1">
      <c r="B29" s="154">
        <f t="shared" ref="B29:B65" si="12">+B28+1</f>
        <v>2024</v>
      </c>
      <c r="C29" s="130"/>
      <c r="D29" s="130"/>
      <c r="E29" s="130"/>
      <c r="F29" s="80"/>
      <c r="G29" s="80"/>
      <c r="H29" s="80"/>
      <c r="I29" s="80"/>
      <c r="J29" s="148"/>
      <c r="K29" s="146"/>
      <c r="L29" s="146"/>
      <c r="M29" s="179"/>
      <c r="N29" s="180"/>
    </row>
    <row r="30" spans="1:16" ht="15" hidden="1" thickBot="1">
      <c r="A30" s="96"/>
      <c r="B30" s="217">
        <f t="shared" si="12"/>
        <v>2025</v>
      </c>
      <c r="C30" s="218"/>
      <c r="D30" s="218"/>
      <c r="E30" s="218"/>
      <c r="F30" s="218"/>
      <c r="G30" s="130"/>
      <c r="H30" s="130"/>
      <c r="I30" s="130"/>
      <c r="J30" s="201"/>
      <c r="K30" s="201"/>
      <c r="L30" s="201"/>
      <c r="M30" s="204"/>
      <c r="N30" s="219"/>
      <c r="P30" s="13"/>
    </row>
    <row r="31" spans="1:16" ht="16.2">
      <c r="A31" s="96"/>
      <c r="B31" s="205">
        <f t="shared" si="12"/>
        <v>2026</v>
      </c>
      <c r="C31" s="227">
        <f>Assumptions!B33</f>
        <v>-1389326.4489169477</v>
      </c>
      <c r="D31" s="216">
        <v>0</v>
      </c>
      <c r="E31" s="216">
        <v>0</v>
      </c>
      <c r="F31" s="208">
        <f ca="1">OFFSET($L$15,0,B31-Assumptions!$B$3)</f>
        <v>50000</v>
      </c>
      <c r="G31" s="233">
        <f>'Cost Recovery Timing'!U15</f>
        <v>18.475999999999999</v>
      </c>
      <c r="H31" s="206">
        <f>Assumptions!$B$23</f>
        <v>0.02</v>
      </c>
      <c r="I31" s="211">
        <f>+I22</f>
        <v>3444.5159477959314</v>
      </c>
      <c r="J31" s="228">
        <f>(G31*I31*Assumptions!$B$28)+'2026 Collections Summary'!C21</f>
        <v>354639.8019954433</v>
      </c>
      <c r="K31" s="208">
        <f ca="1">+C31+J31-F31</f>
        <v>-1084686.6469215043</v>
      </c>
      <c r="L31" s="208">
        <f t="shared" ref="L31:L56" ca="1" si="13">IF(K31&lt;0,0,+K31*$L$25)</f>
        <v>0</v>
      </c>
      <c r="M31" s="212">
        <f t="shared" ref="M31:M56" ca="1" si="14">IF(K31&lt;0,+K31*$M$25,0)</f>
        <v>-48767.511645590836</v>
      </c>
      <c r="N31" s="213">
        <f t="shared" ref="N31:N32" ca="1" si="15">+L31+K31+M31</f>
        <v>-1133454.1585670952</v>
      </c>
      <c r="P31" s="42"/>
    </row>
    <row r="32" spans="1:16">
      <c r="A32" s="96"/>
      <c r="B32" s="154">
        <f t="shared" si="12"/>
        <v>2027</v>
      </c>
      <c r="C32" s="172">
        <f t="shared" ref="C32:C65" ca="1" si="16">+N31</f>
        <v>-1133454.1585670952</v>
      </c>
      <c r="D32" s="172">
        <v>0</v>
      </c>
      <c r="E32" s="172">
        <v>0</v>
      </c>
      <c r="F32" s="173">
        <f ca="1">OFFSET($L$15,0,B32-Assumptions!$B$3)</f>
        <v>0</v>
      </c>
      <c r="G32" s="234">
        <f>'Cost Recovery Timing'!U16</f>
        <v>28.58</v>
      </c>
      <c r="H32" s="165">
        <f>Assumptions!$B$23</f>
        <v>0.02</v>
      </c>
      <c r="I32" s="173">
        <f>+IF(B32&gt;$B$56,0,I31*(1+$H32))</f>
        <v>3513.4062667518501</v>
      </c>
      <c r="J32" s="229">
        <f>(G32*I32*Assumptions!$B$28)+(G31*I31*Assumptions!$B$27)+(G30*I30*Assumptions!$B$26)+'2026 Collections Summary'!C34</f>
        <v>307152.95732657367</v>
      </c>
      <c r="K32" s="173">
        <f t="shared" ref="K32:K65" ca="1" si="17">+C32+J32-F32</f>
        <v>-826301.20124052151</v>
      </c>
      <c r="L32" s="173">
        <f t="shared" ca="1" si="13"/>
        <v>0</v>
      </c>
      <c r="M32" s="174">
        <f t="shared" ca="1" si="14"/>
        <v>-37150.502007773845</v>
      </c>
      <c r="N32" s="195">
        <f t="shared" ca="1" si="15"/>
        <v>-863451.70324829535</v>
      </c>
      <c r="P32" s="42"/>
    </row>
    <row r="33" spans="1:16">
      <c r="A33" s="96"/>
      <c r="B33" s="154">
        <f t="shared" si="12"/>
        <v>2028</v>
      </c>
      <c r="C33" s="172">
        <f t="shared" ref="C33:C55" ca="1" si="18">+N32</f>
        <v>-863451.70324829535</v>
      </c>
      <c r="D33" s="172">
        <v>0</v>
      </c>
      <c r="E33" s="172">
        <v>0</v>
      </c>
      <c r="F33" s="173">
        <f ca="1">OFFSET($L$15,0,B33-Assumptions!$B$3)</f>
        <v>0</v>
      </c>
      <c r="G33" s="234">
        <f>'Cost Recovery Timing'!U17</f>
        <v>28.58</v>
      </c>
      <c r="H33" s="165">
        <f>Assumptions!$B$23</f>
        <v>0.02</v>
      </c>
      <c r="I33" s="173">
        <f t="shared" ref="I33:I65" si="19">+IF(B33&gt;$B$56,0,I32*(1+$H33))</f>
        <v>3583.6743920868871</v>
      </c>
      <c r="J33" s="175">
        <f>(G33*I33*Assumptions!$B$28)+(G32*I32*Assumptions!$B$27)+(G31*I31*Assumptions!$B$26)+'2026 Collections Summary'!C35</f>
        <v>86306.720229474377</v>
      </c>
      <c r="K33" s="173">
        <f t="shared" ref="K33:K55" ca="1" si="20">+C33+J33-F33</f>
        <v>-777144.98301882099</v>
      </c>
      <c r="L33" s="173">
        <f t="shared" ref="L33:L55" ca="1" si="21">IF(K33&lt;0,0,+K33*$L$25)</f>
        <v>0</v>
      </c>
      <c r="M33" s="174">
        <f ca="1">IF(K33&lt;0,+K33*$M$25,0)</f>
        <v>-34940.438436526194</v>
      </c>
      <c r="N33" s="195">
        <f t="shared" ref="N33:N55" ca="1" si="22">+L33+K33+M33</f>
        <v>-812085.42145534721</v>
      </c>
      <c r="P33" s="42"/>
    </row>
    <row r="34" spans="1:16">
      <c r="A34" s="96"/>
      <c r="B34" s="154">
        <f t="shared" si="12"/>
        <v>2029</v>
      </c>
      <c r="C34" s="172">
        <f t="shared" ca="1" si="18"/>
        <v>-812085.42145534721</v>
      </c>
      <c r="D34" s="172">
        <v>0</v>
      </c>
      <c r="E34" s="172">
        <v>0</v>
      </c>
      <c r="F34" s="173">
        <f ca="1">OFFSET($L$15,0,B34-Assumptions!$B$3)</f>
        <v>0</v>
      </c>
      <c r="G34" s="234">
        <f>'Cost Recovery Timing'!U18</f>
        <v>28.58</v>
      </c>
      <c r="H34" s="165">
        <f>Assumptions!$B$23</f>
        <v>0.02</v>
      </c>
      <c r="I34" s="173">
        <f t="shared" si="19"/>
        <v>3655.3478799286249</v>
      </c>
      <c r="J34" s="175">
        <f>(G34*I34*Assumptions!$B$28)+(G33*I33*Assumptions!$B$27)+(G32*I32*Assumptions!$B$26)+'2026 Collections Summary'!C36</f>
        <v>102232.63740176815</v>
      </c>
      <c r="K34" s="173">
        <f t="shared" ca="1" si="20"/>
        <v>-709852.78405357909</v>
      </c>
      <c r="L34" s="173">
        <f t="shared" ca="1" si="21"/>
        <v>0</v>
      </c>
      <c r="M34" s="174">
        <f t="shared" ref="M34:M55" ca="1" si="23">IF(K34&lt;0,+K34*$M$25,0)</f>
        <v>-31914.981171048916</v>
      </c>
      <c r="N34" s="195">
        <f t="shared" ca="1" si="22"/>
        <v>-741767.76522462803</v>
      </c>
      <c r="P34" s="42"/>
    </row>
    <row r="35" spans="1:16">
      <c r="A35" s="96"/>
      <c r="B35" s="154">
        <f t="shared" si="12"/>
        <v>2030</v>
      </c>
      <c r="C35" s="172">
        <f t="shared" ca="1" si="18"/>
        <v>-741767.76522462803</v>
      </c>
      <c r="D35" s="172">
        <v>0</v>
      </c>
      <c r="E35" s="172">
        <v>0</v>
      </c>
      <c r="F35" s="173">
        <f ca="1">OFFSET($L$15,0,B35-Assumptions!$B$3)</f>
        <v>1085473.0394472654</v>
      </c>
      <c r="G35" s="234">
        <f>'Cost Recovery Timing'!U19</f>
        <v>28.58</v>
      </c>
      <c r="H35" s="165">
        <f>Assumptions!$B$23</f>
        <v>0.02</v>
      </c>
      <c r="I35" s="173">
        <f t="shared" si="19"/>
        <v>3728.4548375271975</v>
      </c>
      <c r="J35" s="175">
        <f>(G35*I35*Assumptions!$B$28)+(G34*I34*Assumptions!$B$27)+(G33*I33*Assumptions!$B$26)+'2026 Collections Summary'!C37</f>
        <v>104277.29014980351</v>
      </c>
      <c r="K35" s="173">
        <f t="shared" ca="1" si="20"/>
        <v>-1722963.5145220901</v>
      </c>
      <c r="L35" s="173">
        <f t="shared" ca="1" si="21"/>
        <v>0</v>
      </c>
      <c r="M35" s="174">
        <f t="shared" ca="1" si="23"/>
        <v>-77464.439612913164</v>
      </c>
      <c r="N35" s="195">
        <f t="shared" ca="1" si="22"/>
        <v>-1800427.9541350033</v>
      </c>
      <c r="P35" s="42"/>
    </row>
    <row r="36" spans="1:16">
      <c r="A36" s="96"/>
      <c r="B36" s="154">
        <f t="shared" si="12"/>
        <v>2031</v>
      </c>
      <c r="C36" s="172">
        <f t="shared" ca="1" si="18"/>
        <v>-1800427.9541350033</v>
      </c>
      <c r="D36" s="172">
        <v>0</v>
      </c>
      <c r="E36" s="172">
        <v>0</v>
      </c>
      <c r="F36" s="173">
        <f ca="1">OFFSET($L$15,0,B36-Assumptions!$B$3)</f>
        <v>0</v>
      </c>
      <c r="G36" s="234">
        <f>'Cost Recovery Timing'!U20</f>
        <v>28.58</v>
      </c>
      <c r="H36" s="165">
        <f>Assumptions!$B$23</f>
        <v>0.02</v>
      </c>
      <c r="I36" s="173">
        <f t="shared" si="19"/>
        <v>3803.0239342777413</v>
      </c>
      <c r="J36" s="175">
        <f>(G36*I36*Assumptions!$B$28)+(G35*I35*Assumptions!$B$27)+(G34*I34*Assumptions!$B$26)+'2026 Collections Summary'!C38</f>
        <v>106362.83595279959</v>
      </c>
      <c r="K36" s="173">
        <f t="shared" ca="1" si="20"/>
        <v>-1694065.1181822037</v>
      </c>
      <c r="L36" s="173">
        <f t="shared" ca="1" si="21"/>
        <v>0</v>
      </c>
      <c r="M36" s="174">
        <f t="shared" ca="1" si="23"/>
        <v>-76165.167713471878</v>
      </c>
      <c r="N36" s="195">
        <f t="shared" ca="1" si="22"/>
        <v>-1770230.2858956757</v>
      </c>
      <c r="P36" s="42"/>
    </row>
    <row r="37" spans="1:16">
      <c r="A37" s="96"/>
      <c r="B37" s="154">
        <f t="shared" si="12"/>
        <v>2032</v>
      </c>
      <c r="C37" s="172">
        <f t="shared" ca="1" si="18"/>
        <v>-1770230.2858956757</v>
      </c>
      <c r="D37" s="172">
        <v>0</v>
      </c>
      <c r="E37" s="172">
        <v>0</v>
      </c>
      <c r="F37" s="173">
        <f ca="1">OFFSET($L$15,0,B37-Assumptions!$B$3)</f>
        <v>0</v>
      </c>
      <c r="G37" s="234">
        <f>'Cost Recovery Timing'!U21</f>
        <v>28.58</v>
      </c>
      <c r="H37" s="165">
        <f>Assumptions!$B$23</f>
        <v>0.02</v>
      </c>
      <c r="I37" s="173">
        <f t="shared" si="19"/>
        <v>3879.084412963296</v>
      </c>
      <c r="J37" s="175">
        <f>(G37*I37*Assumptions!$B$28)+(G36*I36*Assumptions!$B$27)+(G35*I35*Assumptions!$B$26)+'2026 Collections Summary'!C39</f>
        <v>108490.09267185556</v>
      </c>
      <c r="K37" s="173">
        <f t="shared" ca="1" si="20"/>
        <v>-1661740.1932238201</v>
      </c>
      <c r="L37" s="173">
        <f t="shared" ca="1" si="21"/>
        <v>0</v>
      </c>
      <c r="M37" s="174">
        <f ca="1">IF(K37&lt;0,+K37*$M$25,0)</f>
        <v>-74711.839087342945</v>
      </c>
      <c r="N37" s="195">
        <f t="shared" ca="1" si="22"/>
        <v>-1736452.0323111629</v>
      </c>
      <c r="P37" s="42"/>
    </row>
    <row r="38" spans="1:16">
      <c r="A38" s="96"/>
      <c r="B38" s="154">
        <f t="shared" si="12"/>
        <v>2033</v>
      </c>
      <c r="C38" s="172">
        <f t="shared" ca="1" si="18"/>
        <v>-1736452.0323111629</v>
      </c>
      <c r="D38" s="172">
        <v>0</v>
      </c>
      <c r="E38" s="172">
        <v>0</v>
      </c>
      <c r="F38" s="173">
        <f ca="1">OFFSET($L$15,0,B38-Assumptions!$B$3)</f>
        <v>0</v>
      </c>
      <c r="G38" s="234">
        <f>'Cost Recovery Timing'!U22</f>
        <v>28.58</v>
      </c>
      <c r="H38" s="165">
        <f>Assumptions!$B$23</f>
        <v>0.02</v>
      </c>
      <c r="I38" s="173">
        <f t="shared" si="19"/>
        <v>3956.6661012225618</v>
      </c>
      <c r="J38" s="175">
        <f>(G38*I38*Assumptions!$B$28)+(G37*I37*Assumptions!$B$27)+(G36*I36*Assumptions!$B$26)+'2026 Collections Summary'!C40</f>
        <v>110659.89452529268</v>
      </c>
      <c r="K38" s="173">
        <f t="shared" ca="1" si="20"/>
        <v>-1625792.1377858701</v>
      </c>
      <c r="L38" s="173">
        <f t="shared" ca="1" si="21"/>
        <v>0</v>
      </c>
      <c r="M38" s="174">
        <f t="shared" ca="1" si="23"/>
        <v>-73095.614514852714</v>
      </c>
      <c r="N38" s="195">
        <f t="shared" ca="1" si="22"/>
        <v>-1698887.7523007228</v>
      </c>
      <c r="P38" s="42"/>
    </row>
    <row r="39" spans="1:16">
      <c r="A39" s="96"/>
      <c r="B39" s="154">
        <f t="shared" si="12"/>
        <v>2034</v>
      </c>
      <c r="C39" s="172">
        <f t="shared" ca="1" si="18"/>
        <v>-1698887.7523007228</v>
      </c>
      <c r="D39" s="172">
        <v>0</v>
      </c>
      <c r="E39" s="172">
        <v>0</v>
      </c>
      <c r="F39" s="173">
        <f ca="1">OFFSET($L$15,0,B39-Assumptions!$B$3)</f>
        <v>0</v>
      </c>
      <c r="G39" s="234">
        <f>'Cost Recovery Timing'!U23</f>
        <v>28.58</v>
      </c>
      <c r="H39" s="165">
        <f>Assumptions!$B$23</f>
        <v>0.02</v>
      </c>
      <c r="I39" s="173">
        <f t="shared" si="19"/>
        <v>4035.7994232470132</v>
      </c>
      <c r="J39" s="175">
        <f>(G39*I39*Assumptions!$B$28)+(G38*I38*Assumptions!$B$27)+(G37*I37*Assumptions!$B$26)+'2026 Collections Summary'!C41</f>
        <v>112873.09241579853</v>
      </c>
      <c r="K39" s="173">
        <f t="shared" ca="1" si="20"/>
        <v>-1586014.6598849243</v>
      </c>
      <c r="L39" s="173">
        <f ca="1">IF(K39&lt;0,0,+K39*$L$25)</f>
        <v>0</v>
      </c>
      <c r="M39" s="174">
        <f t="shared" ca="1" si="23"/>
        <v>-71307.219108426201</v>
      </c>
      <c r="N39" s="195">
        <f t="shared" ca="1" si="22"/>
        <v>-1657321.8789933505</v>
      </c>
      <c r="P39" s="42"/>
    </row>
    <row r="40" spans="1:16">
      <c r="A40" s="96"/>
      <c r="B40" s="154">
        <f t="shared" si="12"/>
        <v>2035</v>
      </c>
      <c r="C40" s="172">
        <f t="shared" ca="1" si="18"/>
        <v>-1657321.8789933505</v>
      </c>
      <c r="D40" s="172">
        <v>0</v>
      </c>
      <c r="E40" s="172">
        <v>0</v>
      </c>
      <c r="F40" s="173">
        <f ca="1">OFFSET($L$15,0,B40-Assumptions!$B$3)</f>
        <v>0</v>
      </c>
      <c r="G40" s="234">
        <f>'Cost Recovery Timing'!U24</f>
        <v>28.58</v>
      </c>
      <c r="H40" s="165">
        <f>Assumptions!$B$23</f>
        <v>0.02</v>
      </c>
      <c r="I40" s="173">
        <f t="shared" si="19"/>
        <v>4116.5154117119537</v>
      </c>
      <c r="J40" s="175">
        <f>(G40*I40*Assumptions!$B$28)+(G39*I39*Assumptions!$B$27)+(G38*I38*Assumptions!$B$26)+'2026 Collections Summary'!C42</f>
        <v>115130.5542641145</v>
      </c>
      <c r="K40" s="173">
        <f t="shared" ca="1" si="20"/>
        <v>-1542191.3247292361</v>
      </c>
      <c r="L40" s="173">
        <f t="shared" ca="1" si="21"/>
        <v>0</v>
      </c>
      <c r="M40" s="174">
        <f t="shared" ca="1" si="23"/>
        <v>-69336.921959826461</v>
      </c>
      <c r="N40" s="195">
        <f t="shared" ca="1" si="22"/>
        <v>-1611528.2466890626</v>
      </c>
      <c r="P40" s="42"/>
    </row>
    <row r="41" spans="1:16">
      <c r="A41" s="96"/>
      <c r="B41" s="154">
        <f t="shared" si="12"/>
        <v>2036</v>
      </c>
      <c r="C41" s="172">
        <f t="shared" ca="1" si="18"/>
        <v>-1611528.2466890626</v>
      </c>
      <c r="D41" s="172">
        <v>0</v>
      </c>
      <c r="E41" s="172">
        <v>0</v>
      </c>
      <c r="F41" s="173">
        <f ca="1">OFFSET($L$15,0,B41-Assumptions!$B$3)</f>
        <v>0</v>
      </c>
      <c r="G41" s="234">
        <f>'Cost Recovery Timing'!U25</f>
        <v>28.58</v>
      </c>
      <c r="H41" s="165">
        <f>Assumptions!$B$23</f>
        <v>0.02</v>
      </c>
      <c r="I41" s="173">
        <f t="shared" si="19"/>
        <v>4198.8457199461927</v>
      </c>
      <c r="J41" s="175">
        <f>(G41*I41*Assumptions!$B$28)+(G40*I40*Assumptions!$B$27)+(G39*I39*Assumptions!$B$26)+'2026 Collections Summary'!C43</f>
        <v>117433.16534939679</v>
      </c>
      <c r="K41" s="173">
        <f t="shared" ca="1" si="20"/>
        <v>-1494095.0813396657</v>
      </c>
      <c r="L41" s="173">
        <f t="shared" ca="1" si="21"/>
        <v>0</v>
      </c>
      <c r="M41" s="174">
        <f t="shared" ca="1" si="23"/>
        <v>-67174.514857031376</v>
      </c>
      <c r="N41" s="195">
        <f t="shared" ca="1" si="22"/>
        <v>-1561269.5961966971</v>
      </c>
      <c r="P41" s="42"/>
    </row>
    <row r="42" spans="1:16">
      <c r="A42" s="96"/>
      <c r="B42" s="154">
        <f t="shared" si="12"/>
        <v>2037</v>
      </c>
      <c r="C42" s="172">
        <f t="shared" ca="1" si="18"/>
        <v>-1561269.5961966971</v>
      </c>
      <c r="D42" s="172">
        <v>0</v>
      </c>
      <c r="E42" s="172">
        <v>0</v>
      </c>
      <c r="F42" s="173">
        <f ca="1">OFFSET($L$15,0,B42-Assumptions!$B$3)</f>
        <v>0</v>
      </c>
      <c r="G42" s="234">
        <f>'Cost Recovery Timing'!U26</f>
        <v>28.58</v>
      </c>
      <c r="H42" s="165">
        <f>Assumptions!$B$23</f>
        <v>0.02</v>
      </c>
      <c r="I42" s="173">
        <f t="shared" si="19"/>
        <v>4282.822634345117</v>
      </c>
      <c r="J42" s="175">
        <f>(G42*I42*Assumptions!$B$28)+(G41*I41*Assumptions!$B$27)+(G40*I40*Assumptions!$B$26)+'2026 Collections Summary'!C44</f>
        <v>119781.82865638475</v>
      </c>
      <c r="K42" s="173">
        <f t="shared" ca="1" si="20"/>
        <v>-1441487.7675403124</v>
      </c>
      <c r="L42" s="173">
        <f t="shared" ca="1" si="21"/>
        <v>0</v>
      </c>
      <c r="M42" s="174">
        <f t="shared" ca="1" si="23"/>
        <v>-64809.290028612442</v>
      </c>
      <c r="N42" s="195">
        <f t="shared" ca="1" si="22"/>
        <v>-1506297.0575689247</v>
      </c>
      <c r="P42" s="42"/>
    </row>
    <row r="43" spans="1:16">
      <c r="A43" s="96"/>
      <c r="B43" s="154">
        <f t="shared" si="12"/>
        <v>2038</v>
      </c>
      <c r="C43" s="172">
        <f t="shared" ca="1" si="18"/>
        <v>-1506297.0575689247</v>
      </c>
      <c r="D43" s="172">
        <v>0</v>
      </c>
      <c r="E43" s="172">
        <v>0</v>
      </c>
      <c r="F43" s="173">
        <f ca="1">OFFSET($L$15,0,B43-Assumptions!$B$3)</f>
        <v>0</v>
      </c>
      <c r="G43" s="234">
        <f>'Cost Recovery Timing'!U27</f>
        <v>28.58</v>
      </c>
      <c r="H43" s="165">
        <f>Assumptions!$B$23</f>
        <v>0.02</v>
      </c>
      <c r="I43" s="173">
        <f t="shared" si="19"/>
        <v>4368.4790870320194</v>
      </c>
      <c r="J43" s="175">
        <f>(G43*I43*Assumptions!$B$28)+(G42*I42*Assumptions!$B$27)+(G41*I41*Assumptions!$B$26)+'2026 Collections Summary'!C45</f>
        <v>122177.46522951244</v>
      </c>
      <c r="K43" s="173">
        <f t="shared" ca="1" si="20"/>
        <v>-1384119.5923394123</v>
      </c>
      <c r="L43" s="173">
        <f t="shared" ca="1" si="21"/>
        <v>0</v>
      </c>
      <c r="M43" s="174">
        <f t="shared" ca="1" si="23"/>
        <v>-62230.016871579981</v>
      </c>
      <c r="N43" s="195">
        <f t="shared" ca="1" si="22"/>
        <v>-1446349.6092109922</v>
      </c>
      <c r="P43" s="42"/>
    </row>
    <row r="44" spans="1:16">
      <c r="A44" s="96"/>
      <c r="B44" s="154">
        <f>+B43+1</f>
        <v>2039</v>
      </c>
      <c r="C44" s="172">
        <f t="shared" ca="1" si="18"/>
        <v>-1446349.6092109922</v>
      </c>
      <c r="D44" s="172">
        <v>0</v>
      </c>
      <c r="E44" s="172">
        <v>0</v>
      </c>
      <c r="F44" s="173">
        <f ca="1">OFFSET($L$15,0,B44-Assumptions!$B$3)</f>
        <v>0</v>
      </c>
      <c r="G44" s="234">
        <f>'Cost Recovery Timing'!U28</f>
        <v>28.58</v>
      </c>
      <c r="H44" s="165">
        <f>Assumptions!$B$23</f>
        <v>0.02</v>
      </c>
      <c r="I44" s="173">
        <f t="shared" si="19"/>
        <v>4455.8486687726599</v>
      </c>
      <c r="J44" s="175">
        <f>(G44*I44*Assumptions!$B$28)+(G43*I43*Assumptions!$B$27)+(G42*I42*Assumptions!$B$26)+'2026 Collections Summary'!C46</f>
        <v>124621.01453410269</v>
      </c>
      <c r="K44" s="173">
        <f t="shared" ca="1" si="20"/>
        <v>-1321728.5946768895</v>
      </c>
      <c r="L44" s="173">
        <f t="shared" ca="1" si="21"/>
        <v>0</v>
      </c>
      <c r="M44" s="174">
        <f t="shared" ca="1" si="23"/>
        <v>-59424.917616672952</v>
      </c>
      <c r="N44" s="195">
        <f t="shared" ca="1" si="22"/>
        <v>-1381153.5122935625</v>
      </c>
      <c r="P44" s="42"/>
    </row>
    <row r="45" spans="1:16">
      <c r="A45" s="96"/>
      <c r="B45" s="154">
        <f t="shared" si="12"/>
        <v>2040</v>
      </c>
      <c r="C45" s="172">
        <f t="shared" ca="1" si="18"/>
        <v>-1381153.5122935625</v>
      </c>
      <c r="D45" s="172">
        <v>0</v>
      </c>
      <c r="E45" s="172">
        <v>0</v>
      </c>
      <c r="F45" s="173">
        <f ca="1">OFFSET($L$15,0,B45-Assumptions!$B$3)</f>
        <v>0</v>
      </c>
      <c r="G45" s="234">
        <f>'Cost Recovery Timing'!U29</f>
        <v>28.58</v>
      </c>
      <c r="H45" s="165">
        <f>Assumptions!$B$23</f>
        <v>0.02</v>
      </c>
      <c r="I45" s="173">
        <f t="shared" si="19"/>
        <v>4544.9656421481131</v>
      </c>
      <c r="J45" s="175">
        <f>(G45*I45*Assumptions!$B$28)+(G44*I44*Assumptions!$B$27)+(G43*I43*Assumptions!$B$26)+'2026 Collections Summary'!C47</f>
        <v>127113.43482478475</v>
      </c>
      <c r="K45" s="173">
        <f t="shared" ca="1" si="20"/>
        <v>-1254040.0774687778</v>
      </c>
      <c r="L45" s="173">
        <f t="shared" ca="1" si="21"/>
        <v>0</v>
      </c>
      <c r="M45" s="174">
        <f t="shared" ca="1" si="23"/>
        <v>-56381.641882996249</v>
      </c>
      <c r="N45" s="195">
        <f t="shared" ca="1" si="22"/>
        <v>-1310421.7193517741</v>
      </c>
      <c r="P45" s="42"/>
    </row>
    <row r="46" spans="1:16">
      <c r="A46" s="96"/>
      <c r="B46" s="154">
        <f>+B45+1</f>
        <v>2041</v>
      </c>
      <c r="C46" s="172">
        <f t="shared" ca="1" si="18"/>
        <v>-1310421.7193517741</v>
      </c>
      <c r="D46" s="172">
        <v>0</v>
      </c>
      <c r="E46" s="172">
        <v>0</v>
      </c>
      <c r="F46" s="173">
        <f ca="1">OFFSET($L$15,0,B46-Assumptions!$B$3)</f>
        <v>0</v>
      </c>
      <c r="G46" s="234">
        <f>'Cost Recovery Timing'!U30</f>
        <v>28.58</v>
      </c>
      <c r="H46" s="165">
        <f>Assumptions!$B$23</f>
        <v>0.02</v>
      </c>
      <c r="I46" s="173">
        <f t="shared" si="19"/>
        <v>4635.8649549910751</v>
      </c>
      <c r="J46" s="175">
        <f>(G46*I46*Assumptions!$B$28)+(G45*I45*Assumptions!$B$27)+(G44*I44*Assumptions!$B$26)+'2026 Collections Summary'!C48</f>
        <v>129655.70352128043</v>
      </c>
      <c r="K46" s="173">
        <f t="shared" ca="1" si="20"/>
        <v>-1180766.0158304935</v>
      </c>
      <c r="L46" s="173">
        <f t="shared" ca="1" si="21"/>
        <v>0</v>
      </c>
      <c r="M46" s="174">
        <f t="shared" ca="1" si="23"/>
        <v>-53087.24007173899</v>
      </c>
      <c r="N46" s="195">
        <f t="shared" ca="1" si="22"/>
        <v>-1233853.2559022326</v>
      </c>
      <c r="P46" s="42"/>
    </row>
    <row r="47" spans="1:16">
      <c r="A47" s="96"/>
      <c r="B47" s="154">
        <f>+B46+1</f>
        <v>2042</v>
      </c>
      <c r="C47" s="172">
        <f t="shared" ca="1" si="18"/>
        <v>-1233853.2559022326</v>
      </c>
      <c r="D47" s="172">
        <v>0</v>
      </c>
      <c r="E47" s="172">
        <v>0</v>
      </c>
      <c r="F47" s="173">
        <f ca="1">OFFSET($L$15,0,B47-Assumptions!$B$3)</f>
        <v>0</v>
      </c>
      <c r="G47" s="234">
        <f>'Cost Recovery Timing'!U31</f>
        <v>28.58</v>
      </c>
      <c r="H47" s="165">
        <f>Assumptions!$B$23</f>
        <v>0.02</v>
      </c>
      <c r="I47" s="173">
        <f t="shared" si="19"/>
        <v>4728.5822540908966</v>
      </c>
      <c r="J47" s="175">
        <f>(G47*I47*Assumptions!$B$28)+(G46*I46*Assumptions!$B$27)+(G45*I45*Assumptions!$B$26)+'2026 Collections Summary'!C49</f>
        <v>132248.81759170606</v>
      </c>
      <c r="K47" s="173">
        <f t="shared" ca="1" si="20"/>
        <v>-1101604.4383105265</v>
      </c>
      <c r="L47" s="173">
        <f t="shared" ca="1" si="21"/>
        <v>0</v>
      </c>
      <c r="M47" s="174">
        <f t="shared" ca="1" si="23"/>
        <v>-49528.13554644127</v>
      </c>
      <c r="N47" s="195">
        <f t="shared" ca="1" si="22"/>
        <v>-1151132.5738569677</v>
      </c>
      <c r="P47" s="42"/>
    </row>
    <row r="48" spans="1:16">
      <c r="A48" s="96"/>
      <c r="B48" s="154">
        <f t="shared" si="12"/>
        <v>2043</v>
      </c>
      <c r="C48" s="172">
        <f t="shared" ca="1" si="18"/>
        <v>-1151132.5738569677</v>
      </c>
      <c r="D48" s="172">
        <v>0</v>
      </c>
      <c r="E48" s="172">
        <v>0</v>
      </c>
      <c r="F48" s="173">
        <f ca="1">OFFSET($L$15,0,B48-Assumptions!$B$3)</f>
        <v>0</v>
      </c>
      <c r="G48" s="234">
        <f>'Cost Recovery Timing'!U32</f>
        <v>28.58</v>
      </c>
      <c r="H48" s="165">
        <f>Assumptions!$B$23</f>
        <v>0.02</v>
      </c>
      <c r="I48" s="173">
        <f t="shared" si="19"/>
        <v>4823.1538991727148</v>
      </c>
      <c r="J48" s="175">
        <f>(G48*I48*Assumptions!$B$28)+(G47*I47*Assumptions!$B$27)+(G46*I46*Assumptions!$B$26)+'2026 Collections Summary'!C50</f>
        <v>134893.79394354016</v>
      </c>
      <c r="K48" s="173">
        <f t="shared" ca="1" si="20"/>
        <v>-1016238.7799134275</v>
      </c>
      <c r="L48" s="173">
        <f t="shared" ca="1" si="21"/>
        <v>0</v>
      </c>
      <c r="M48" s="174">
        <f t="shared" ca="1" si="23"/>
        <v>-45690.095544907701</v>
      </c>
      <c r="N48" s="195">
        <f t="shared" ca="1" si="22"/>
        <v>-1061928.8754583353</v>
      </c>
      <c r="P48" s="42"/>
    </row>
    <row r="49" spans="1:17">
      <c r="A49" s="96"/>
      <c r="B49" s="154">
        <f>+B48+1</f>
        <v>2044</v>
      </c>
      <c r="C49" s="172">
        <f t="shared" ca="1" si="18"/>
        <v>-1061928.8754583353</v>
      </c>
      <c r="D49" s="172">
        <v>0</v>
      </c>
      <c r="E49" s="172">
        <v>0</v>
      </c>
      <c r="F49" s="173">
        <f ca="1">OFFSET($L$15,0,B49-Assumptions!$B$3)</f>
        <v>0</v>
      </c>
      <c r="G49" s="234">
        <f>'Cost Recovery Timing'!U33</f>
        <v>28.58</v>
      </c>
      <c r="H49" s="165">
        <f>Assumptions!$B$23</f>
        <v>0.02</v>
      </c>
      <c r="I49" s="173">
        <f t="shared" si="19"/>
        <v>4919.616977156169</v>
      </c>
      <c r="J49" s="175">
        <f>(G49*I49*Assumptions!$B$28)+(G48*I48*Assumptions!$B$27)+(G47*I47*Assumptions!$B$26)+'2026 Collections Summary'!C51</f>
        <v>137591.66982241097</v>
      </c>
      <c r="K49" s="173">
        <f t="shared" ca="1" si="20"/>
        <v>-924337.20563592436</v>
      </c>
      <c r="L49" s="173">
        <f t="shared" ca="1" si="21"/>
        <v>0</v>
      </c>
      <c r="M49" s="174">
        <f t="shared" ca="1" si="23"/>
        <v>-41558.200765391157</v>
      </c>
      <c r="N49" s="195">
        <f t="shared" ca="1" si="22"/>
        <v>-965895.40640131547</v>
      </c>
      <c r="P49" s="42"/>
    </row>
    <row r="50" spans="1:17">
      <c r="A50" s="96"/>
      <c r="B50" s="154">
        <f t="shared" si="12"/>
        <v>2045</v>
      </c>
      <c r="C50" s="172">
        <f t="shared" ca="1" si="18"/>
        <v>-965895.40640131547</v>
      </c>
      <c r="D50" s="172">
        <v>0</v>
      </c>
      <c r="E50" s="172">
        <v>0</v>
      </c>
      <c r="F50" s="173">
        <f ca="1">OFFSET($L$15,0,B50-Assumptions!$B$3)</f>
        <v>0</v>
      </c>
      <c r="G50" s="234">
        <f>'Cost Recovery Timing'!U34</f>
        <v>28.58</v>
      </c>
      <c r="H50" s="165">
        <f>Assumptions!$B$23</f>
        <v>0.02</v>
      </c>
      <c r="I50" s="173">
        <f t="shared" si="19"/>
        <v>5018.0093166992929</v>
      </c>
      <c r="J50" s="175">
        <f>(G50*I50*Assumptions!$B$28)+(G49*I49*Assumptions!$B$27)+(G48*I48*Assumptions!$B$26)+'2026 Collections Summary'!C52</f>
        <v>140343.5032188592</v>
      </c>
      <c r="K50" s="173">
        <f t="shared" ca="1" si="20"/>
        <v>-825551.90318245627</v>
      </c>
      <c r="L50" s="173">
        <f t="shared" ca="1" si="21"/>
        <v>0</v>
      </c>
      <c r="M50" s="174">
        <f t="shared" ca="1" si="23"/>
        <v>-37116.813567083234</v>
      </c>
      <c r="N50" s="195">
        <f t="shared" ca="1" si="22"/>
        <v>-862668.71674953948</v>
      </c>
      <c r="P50" s="42"/>
    </row>
    <row r="51" spans="1:17">
      <c r="A51" s="96"/>
      <c r="B51" s="154">
        <f t="shared" si="12"/>
        <v>2046</v>
      </c>
      <c r="C51" s="172">
        <f t="shared" ca="1" si="18"/>
        <v>-862668.71674953948</v>
      </c>
      <c r="D51" s="172">
        <v>0</v>
      </c>
      <c r="E51" s="172">
        <v>0</v>
      </c>
      <c r="F51" s="173">
        <f ca="1">OFFSET($L$15,0,B51-Assumptions!$B$3)</f>
        <v>0</v>
      </c>
      <c r="G51" s="234">
        <f>'Cost Recovery Timing'!U35</f>
        <v>28.58</v>
      </c>
      <c r="H51" s="165">
        <f>Assumptions!$B$23</f>
        <v>0.02</v>
      </c>
      <c r="I51" s="173">
        <f t="shared" si="19"/>
        <v>5118.3695030332792</v>
      </c>
      <c r="J51" s="175">
        <f>(G51*I51*Assumptions!$B$28)+(G50*I50*Assumptions!$B$27)+(G49*I49*Assumptions!$B$26)+'2026 Collections Summary'!C53</f>
        <v>143150.37328323637</v>
      </c>
      <c r="K51" s="173">
        <f t="shared" ca="1" si="20"/>
        <v>-719518.34346630308</v>
      </c>
      <c r="L51" s="173">
        <f t="shared" ca="1" si="21"/>
        <v>0</v>
      </c>
      <c r="M51" s="174">
        <f t="shared" ca="1" si="23"/>
        <v>-32349.544722244987</v>
      </c>
      <c r="N51" s="195">
        <f t="shared" ca="1" si="22"/>
        <v>-751867.88818854804</v>
      </c>
      <c r="P51" s="42"/>
    </row>
    <row r="52" spans="1:17">
      <c r="A52" s="96"/>
      <c r="B52" s="154">
        <f t="shared" si="12"/>
        <v>2047</v>
      </c>
      <c r="C52" s="172">
        <f t="shared" ca="1" si="18"/>
        <v>-751867.88818854804</v>
      </c>
      <c r="D52" s="172">
        <v>0</v>
      </c>
      <c r="E52" s="172">
        <v>0</v>
      </c>
      <c r="F52" s="173">
        <f ca="1">OFFSET($L$15,0,B52-Assumptions!$B$3)</f>
        <v>0</v>
      </c>
      <c r="G52" s="234">
        <f>'Cost Recovery Timing'!U36</f>
        <v>28.58</v>
      </c>
      <c r="H52" s="165">
        <f>Assumptions!$B$23</f>
        <v>0.02</v>
      </c>
      <c r="I52" s="173">
        <f t="shared" si="19"/>
        <v>5220.7368930939447</v>
      </c>
      <c r="J52" s="175">
        <f>(G52*I52*Assumptions!$B$28)+(G51*I51*Assumptions!$B$27)+(G50*I50*Assumptions!$B$26)+'2026 Collections Summary'!C54</f>
        <v>146013.38074890111</v>
      </c>
      <c r="K52" s="173">
        <f t="shared" ca="1" si="20"/>
        <v>-605854.50743964687</v>
      </c>
      <c r="L52" s="173">
        <f t="shared" ca="1" si="21"/>
        <v>0</v>
      </c>
      <c r="M52" s="174">
        <f t="shared" ca="1" si="23"/>
        <v>-27239.218654486522</v>
      </c>
      <c r="N52" s="195">
        <f t="shared" ca="1" si="22"/>
        <v>-633093.72609413334</v>
      </c>
      <c r="P52" s="42"/>
    </row>
    <row r="53" spans="1:17">
      <c r="A53" s="96"/>
      <c r="B53" s="154">
        <f t="shared" si="12"/>
        <v>2048</v>
      </c>
      <c r="C53" s="172">
        <f t="shared" ca="1" si="18"/>
        <v>-633093.72609413334</v>
      </c>
      <c r="D53" s="172">
        <v>0</v>
      </c>
      <c r="E53" s="172">
        <v>0</v>
      </c>
      <c r="F53" s="173">
        <f ca="1">OFFSET($L$15,0,B53-Assumptions!$B$3)</f>
        <v>0</v>
      </c>
      <c r="G53" s="234">
        <f>'Cost Recovery Timing'!U37</f>
        <v>28.58</v>
      </c>
      <c r="H53" s="165">
        <f>Assumptions!$B$23</f>
        <v>0.02</v>
      </c>
      <c r="I53" s="173">
        <f t="shared" si="19"/>
        <v>5325.1516309558237</v>
      </c>
      <c r="J53" s="175">
        <f>(G53*I53*Assumptions!$B$28)+(G52*I52*Assumptions!$B$27)+(G51*I51*Assumptions!$B$26)+'2026 Collections Summary'!C55</f>
        <v>148933.64836387915</v>
      </c>
      <c r="K53" s="173">
        <f t="shared" ca="1" si="20"/>
        <v>-484160.07773025415</v>
      </c>
      <c r="L53" s="173">
        <f t="shared" ca="1" si="21"/>
        <v>0</v>
      </c>
      <c r="M53" s="174">
        <f t="shared" ca="1" si="23"/>
        <v>-21767.837094752227</v>
      </c>
      <c r="N53" s="195">
        <f t="shared" ca="1" si="22"/>
        <v>-505927.91482500639</v>
      </c>
      <c r="P53" s="42"/>
    </row>
    <row r="54" spans="1:17">
      <c r="A54" s="96"/>
      <c r="B54" s="154">
        <f t="shared" si="12"/>
        <v>2049</v>
      </c>
      <c r="C54" s="172">
        <f t="shared" ca="1" si="18"/>
        <v>-505927.91482500639</v>
      </c>
      <c r="D54" s="172">
        <v>0</v>
      </c>
      <c r="E54" s="172">
        <v>0</v>
      </c>
      <c r="F54" s="173">
        <f ca="1">OFFSET($L$15,0,B54-Assumptions!$B$3)</f>
        <v>0</v>
      </c>
      <c r="G54" s="234">
        <f>'Cost Recovery Timing'!U38</f>
        <v>28.58</v>
      </c>
      <c r="H54" s="165">
        <f>Assumptions!$B$23</f>
        <v>0.02</v>
      </c>
      <c r="I54" s="173">
        <f t="shared" si="19"/>
        <v>5431.6546635749401</v>
      </c>
      <c r="J54" s="175">
        <f>(G54*I54*Assumptions!$B$28)+(G53*I53*Assumptions!$B$27)+(G52*I52*Assumptions!$B$26)+'2026 Collections Summary'!C56</f>
        <v>151912.32133115674</v>
      </c>
      <c r="K54" s="173">
        <f t="shared" ca="1" si="20"/>
        <v>-354015.59349384962</v>
      </c>
      <c r="L54" s="173">
        <f t="shared" ca="1" si="21"/>
        <v>0</v>
      </c>
      <c r="M54" s="174">
        <f t="shared" ca="1" si="23"/>
        <v>-15916.541083483478</v>
      </c>
      <c r="N54" s="195">
        <f t="shared" ca="1" si="22"/>
        <v>-369932.13457733311</v>
      </c>
      <c r="P54" s="42"/>
    </row>
    <row r="55" spans="1:17">
      <c r="B55" s="154">
        <f t="shared" si="12"/>
        <v>2050</v>
      </c>
      <c r="C55" s="172">
        <f t="shared" ca="1" si="18"/>
        <v>-369932.13457733311</v>
      </c>
      <c r="D55" s="172">
        <v>0</v>
      </c>
      <c r="E55" s="172">
        <v>0</v>
      </c>
      <c r="F55" s="173">
        <f ca="1">OFFSET($L$15,0,B55-Assumptions!$B$3)</f>
        <v>0</v>
      </c>
      <c r="G55" s="234">
        <f>'Cost Recovery Timing'!U39</f>
        <v>28.58</v>
      </c>
      <c r="H55" s="165">
        <f>Assumptions!$B$23</f>
        <v>0.02</v>
      </c>
      <c r="I55" s="173">
        <f t="shared" si="19"/>
        <v>5540.2877568464392</v>
      </c>
      <c r="J55" s="175">
        <f>(G55*I55*Assumptions!$B$28)+(G54*I54*Assumptions!$B$27)+(G53*I53*Assumptions!$B$26)+'2026 Collections Summary'!C57</f>
        <v>154950.56775777988</v>
      </c>
      <c r="K55" s="173">
        <f t="shared" ca="1" si="20"/>
        <v>-214981.56681955323</v>
      </c>
      <c r="L55" s="173">
        <f t="shared" ca="1" si="21"/>
        <v>0</v>
      </c>
      <c r="M55" s="174">
        <f t="shared" ca="1" si="23"/>
        <v>-9665.5712442071126</v>
      </c>
      <c r="N55" s="195">
        <f t="shared" ca="1" si="22"/>
        <v>-224647.13806376036</v>
      </c>
      <c r="P55" s="42"/>
    </row>
    <row r="56" spans="1:17">
      <c r="A56" s="166" t="s">
        <v>162</v>
      </c>
      <c r="B56" s="207">
        <f t="shared" si="12"/>
        <v>2051</v>
      </c>
      <c r="C56" s="209">
        <f t="shared" ca="1" si="16"/>
        <v>-224647.13806376036</v>
      </c>
      <c r="D56" s="209">
        <v>0</v>
      </c>
      <c r="E56" s="209">
        <v>0</v>
      </c>
      <c r="F56" s="210">
        <f ca="1">OFFSET($L$15,0,B56-Assumptions!$B$3)</f>
        <v>0</v>
      </c>
      <c r="G56" s="236">
        <f>'Cost Recovery Timing'!U40</f>
        <v>10.103999999999928</v>
      </c>
      <c r="H56" s="167">
        <f>Assumptions!$B$23</f>
        <v>0.02</v>
      </c>
      <c r="I56" s="210">
        <f t="shared" si="19"/>
        <v>5651.0935119833684</v>
      </c>
      <c r="J56" s="210">
        <f>(G56*I56*Assumptions!$B$28)+(G55*I55*Assumptions!$B$27)+(G54*I54*Assumptions!$B$26)</f>
        <v>126726.69799471393</v>
      </c>
      <c r="K56" s="210">
        <f t="shared" ca="1" si="17"/>
        <v>-97920.440069046424</v>
      </c>
      <c r="L56" s="210">
        <f t="shared" ca="1" si="13"/>
        <v>0</v>
      </c>
      <c r="M56" s="214">
        <f t="shared" ca="1" si="14"/>
        <v>-4402.5029855043276</v>
      </c>
      <c r="N56" s="215">
        <f t="shared" ref="N56:N65" ca="1" si="24">+L56+K56+M56</f>
        <v>-102322.94305455075</v>
      </c>
      <c r="P56" s="42"/>
    </row>
    <row r="57" spans="1:17" ht="15" customHeight="1">
      <c r="B57" s="154">
        <f t="shared" si="12"/>
        <v>2052</v>
      </c>
      <c r="C57" s="172">
        <f t="shared" ca="1" si="16"/>
        <v>-102322.94305455075</v>
      </c>
      <c r="D57" s="172">
        <v>0</v>
      </c>
      <c r="E57" s="172">
        <v>0</v>
      </c>
      <c r="F57" s="173">
        <f ca="1">OFFSET($L$15,0,B57-Assumptions!$B$3)</f>
        <v>0</v>
      </c>
      <c r="G57" s="234">
        <f>'Cost Recovery Timing'!U41</f>
        <v>0</v>
      </c>
      <c r="H57" s="165">
        <f>Assumptions!$B$23</f>
        <v>0.02</v>
      </c>
      <c r="I57" s="173">
        <f t="shared" si="19"/>
        <v>0</v>
      </c>
      <c r="J57" s="173">
        <f>(G57*I57*Assumptions!$B$28)+(G56*I56*Assumptions!$B$27)+(G55*I55*Assumptions!$B$26)</f>
        <v>80466.164289792345</v>
      </c>
      <c r="K57" s="175">
        <f t="shared" ca="1" si="17"/>
        <v>-21856.778764758405</v>
      </c>
      <c r="L57" s="175">
        <f t="shared" ref="L57:L65" ca="1" si="25">IF(K57&lt;0,0,+K57*$L$25)</f>
        <v>0</v>
      </c>
      <c r="M57" s="174">
        <f t="shared" ref="M57:M65" ca="1" si="26">IF(K57&lt;0,+K57*$M$25,0)</f>
        <v>-982.68077326353784</v>
      </c>
      <c r="N57" s="606">
        <f t="shared" ca="1" si="24"/>
        <v>-22839.459538021943</v>
      </c>
      <c r="O57" s="734" t="s">
        <v>290</v>
      </c>
      <c r="P57" s="735"/>
      <c r="Q57" s="735"/>
    </row>
    <row r="58" spans="1:17">
      <c r="B58" s="154">
        <f t="shared" si="12"/>
        <v>2053</v>
      </c>
      <c r="C58" s="172">
        <f t="shared" ca="1" si="16"/>
        <v>-22839.459538021943</v>
      </c>
      <c r="D58" s="172">
        <v>0</v>
      </c>
      <c r="E58" s="172">
        <v>0</v>
      </c>
      <c r="F58" s="173">
        <f ca="1">OFFSET($L$15,0,B58-Assumptions!$B$3)</f>
        <v>0</v>
      </c>
      <c r="G58" s="173">
        <f>'Cost Recovery Timing'!U42</f>
        <v>0</v>
      </c>
      <c r="H58" s="165">
        <f>Assumptions!$B$23</f>
        <v>0.02</v>
      </c>
      <c r="I58" s="173">
        <f t="shared" si="19"/>
        <v>0</v>
      </c>
      <c r="J58" s="173">
        <f>(G58*I58*Assumptions!$B$28)+(G57*I57*Assumptions!$B$27)+(G56*I56*Assumptions!$B$26)</f>
        <v>22839.459538031821</v>
      </c>
      <c r="K58" s="175">
        <f t="shared" ca="1" si="17"/>
        <v>9.8771124612540007E-9</v>
      </c>
      <c r="L58" s="175">
        <f t="shared" ca="1" si="25"/>
        <v>2.64113987213932E-10</v>
      </c>
      <c r="M58" s="174">
        <f t="shared" ca="1" si="26"/>
        <v>0</v>
      </c>
      <c r="N58" s="606">
        <f t="shared" ca="1" si="24"/>
        <v>1.0141226448467932E-8</v>
      </c>
      <c r="O58" s="734"/>
      <c r="P58" s="735"/>
      <c r="Q58" s="735"/>
    </row>
    <row r="59" spans="1:17">
      <c r="B59" s="154">
        <f t="shared" si="12"/>
        <v>2054</v>
      </c>
      <c r="C59" s="172">
        <f t="shared" ca="1" si="16"/>
        <v>1.0141226448467932E-8</v>
      </c>
      <c r="D59" s="172">
        <v>0</v>
      </c>
      <c r="E59" s="172">
        <v>0</v>
      </c>
      <c r="F59" s="173">
        <f ca="1">OFFSET($L$15,0,B59-Assumptions!$B$3)</f>
        <v>0</v>
      </c>
      <c r="G59" s="173">
        <f>'Cost Recovery Timing'!U43</f>
        <v>0</v>
      </c>
      <c r="H59" s="165">
        <f>Assumptions!$B$23</f>
        <v>0.02</v>
      </c>
      <c r="I59" s="173">
        <f t="shared" si="19"/>
        <v>0</v>
      </c>
      <c r="J59" s="173">
        <f>(G59*I59*Assumptions!$B$28)+(G58*I58*Assumptions!$B$27)+(G57*I57*Assumptions!$B$26)</f>
        <v>0</v>
      </c>
      <c r="K59" s="175">
        <f t="shared" ca="1" si="17"/>
        <v>1.0141226448467932E-8</v>
      </c>
      <c r="L59" s="175">
        <f t="shared" ca="1" si="25"/>
        <v>2.7117639523203254E-10</v>
      </c>
      <c r="M59" s="174">
        <f t="shared" ca="1" si="26"/>
        <v>0</v>
      </c>
      <c r="N59" s="195">
        <f t="shared" ca="1" si="24"/>
        <v>1.0412402843699965E-8</v>
      </c>
      <c r="O59" s="734"/>
      <c r="P59" s="735"/>
      <c r="Q59" s="735"/>
    </row>
    <row r="60" spans="1:17">
      <c r="B60" s="154">
        <f t="shared" si="12"/>
        <v>2055</v>
      </c>
      <c r="C60" s="172">
        <f t="shared" ca="1" si="16"/>
        <v>1.0412402843699965E-8</v>
      </c>
      <c r="D60" s="172">
        <v>0</v>
      </c>
      <c r="E60" s="172">
        <v>0</v>
      </c>
      <c r="F60" s="173">
        <f ca="1">OFFSET($L$15,0,B60-Assumptions!$B$3)</f>
        <v>0</v>
      </c>
      <c r="G60" s="173">
        <f>'Cost Recovery Timing'!U44</f>
        <v>0</v>
      </c>
      <c r="H60" s="165">
        <f>Assumptions!$B$23</f>
        <v>0.02</v>
      </c>
      <c r="I60" s="173">
        <f t="shared" si="19"/>
        <v>0</v>
      </c>
      <c r="J60" s="173">
        <f>(G60*I60*Assumptions!$B$28)+(G59*I59*Assumptions!$B$27)+(G58*I58*Assumptions!$B$26)</f>
        <v>0</v>
      </c>
      <c r="K60" s="175">
        <f t="shared" ca="1" si="17"/>
        <v>1.0412402843699965E-8</v>
      </c>
      <c r="L60" s="175">
        <f t="shared" ca="1" si="25"/>
        <v>2.7842765204053713E-10</v>
      </c>
      <c r="M60" s="174">
        <f t="shared" ca="1" si="26"/>
        <v>0</v>
      </c>
      <c r="N60" s="195">
        <f t="shared" ca="1" si="24"/>
        <v>1.0690830495740503E-8</v>
      </c>
    </row>
    <row r="61" spans="1:17">
      <c r="B61" s="154">
        <f t="shared" si="12"/>
        <v>2056</v>
      </c>
      <c r="C61" s="172">
        <f t="shared" ca="1" si="16"/>
        <v>1.0690830495740503E-8</v>
      </c>
      <c r="D61" s="172">
        <v>0</v>
      </c>
      <c r="E61" s="172">
        <v>0</v>
      </c>
      <c r="F61" s="173">
        <f ca="1">OFFSET($L$15,0,B61-Assumptions!$B$3)</f>
        <v>0</v>
      </c>
      <c r="G61" s="173">
        <f>'Cost Recovery Timing'!U45</f>
        <v>0</v>
      </c>
      <c r="H61" s="165">
        <f>Assumptions!$B$23</f>
        <v>0.02</v>
      </c>
      <c r="I61" s="173">
        <f t="shared" si="19"/>
        <v>0</v>
      </c>
      <c r="J61" s="173">
        <f>(G61*I61*Assumptions!$B$28)+(G60*I60*Assumptions!$B$27)+(G59*I59*Assumptions!$B$26)</f>
        <v>0</v>
      </c>
      <c r="K61" s="175">
        <f t="shared" ca="1" si="17"/>
        <v>1.0690830495740503E-8</v>
      </c>
      <c r="L61" s="175">
        <f t="shared" ca="1" si="25"/>
        <v>2.8587280745610107E-10</v>
      </c>
      <c r="M61" s="174">
        <f t="shared" ca="1" si="26"/>
        <v>0</v>
      </c>
      <c r="N61" s="195">
        <f t="shared" ca="1" si="24"/>
        <v>1.0976703303196604E-8</v>
      </c>
    </row>
    <row r="62" spans="1:17">
      <c r="B62" s="154">
        <f t="shared" si="12"/>
        <v>2057</v>
      </c>
      <c r="C62" s="172">
        <f t="shared" ca="1" si="16"/>
        <v>1.0976703303196604E-8</v>
      </c>
      <c r="D62" s="172">
        <v>0</v>
      </c>
      <c r="E62" s="172">
        <v>0</v>
      </c>
      <c r="F62" s="173">
        <f ca="1">OFFSET($L$15,0,B62-Assumptions!$B$3)</f>
        <v>0</v>
      </c>
      <c r="G62" s="173">
        <f>'Cost Recovery Timing'!U46</f>
        <v>0</v>
      </c>
      <c r="H62" s="165">
        <f>Assumptions!$B$23</f>
        <v>0.02</v>
      </c>
      <c r="I62" s="173">
        <f t="shared" si="19"/>
        <v>0</v>
      </c>
      <c r="J62" s="173">
        <f>(G62*I62*Assumptions!$B$28)+(G61*I61*Assumptions!$B$27)+(G60*I60*Assumptions!$B$26)</f>
        <v>0</v>
      </c>
      <c r="K62" s="175">
        <f t="shared" ca="1" si="17"/>
        <v>1.0976703303196604E-8</v>
      </c>
      <c r="L62" s="175">
        <f t="shared" ca="1" si="25"/>
        <v>2.9351704632747724E-10</v>
      </c>
      <c r="M62" s="174">
        <f t="shared" ca="1" si="26"/>
        <v>0</v>
      </c>
      <c r="N62" s="195">
        <f t="shared" ca="1" si="24"/>
        <v>1.1270220349524081E-8</v>
      </c>
    </row>
    <row r="63" spans="1:17">
      <c r="B63" s="154">
        <f t="shared" si="12"/>
        <v>2058</v>
      </c>
      <c r="C63" s="172">
        <f t="shared" ca="1" si="16"/>
        <v>1.1270220349524081E-8</v>
      </c>
      <c r="D63" s="172">
        <v>0</v>
      </c>
      <c r="E63" s="172">
        <v>0</v>
      </c>
      <c r="F63" s="173">
        <f ca="1">OFFSET($L$15,0,B63-Assumptions!$B$3)</f>
        <v>0</v>
      </c>
      <c r="G63" s="173">
        <f>'Cost Recovery Timing'!U47</f>
        <v>0</v>
      </c>
      <c r="H63" s="165">
        <f>Assumptions!$B$23</f>
        <v>0.02</v>
      </c>
      <c r="I63" s="173">
        <f t="shared" si="19"/>
        <v>0</v>
      </c>
      <c r="J63" s="173">
        <f>(G63*I63*Assumptions!$B$28)+(G62*I62*Assumptions!$B$27)+(G61*I61*Assumptions!$B$26)</f>
        <v>0</v>
      </c>
      <c r="K63" s="175">
        <f t="shared" ca="1" si="17"/>
        <v>1.1270220349524081E-8</v>
      </c>
      <c r="L63" s="175">
        <f t="shared" ca="1" si="25"/>
        <v>3.0136569214627395E-10</v>
      </c>
      <c r="M63" s="174">
        <f t="shared" ca="1" si="26"/>
        <v>0</v>
      </c>
      <c r="N63" s="195">
        <f t="shared" ca="1" si="24"/>
        <v>1.1571586041670355E-8</v>
      </c>
    </row>
    <row r="64" spans="1:17">
      <c r="B64" s="154">
        <f t="shared" si="12"/>
        <v>2059</v>
      </c>
      <c r="C64" s="172">
        <f t="shared" ca="1" si="16"/>
        <v>1.1571586041670355E-8</v>
      </c>
      <c r="D64" s="172">
        <v>0</v>
      </c>
      <c r="E64" s="172">
        <v>0</v>
      </c>
      <c r="F64" s="173">
        <f ca="1">OFFSET($L$15,0,B64-Assumptions!$B$3)</f>
        <v>0</v>
      </c>
      <c r="G64" s="173">
        <f>'Cost Recovery Timing'!U48</f>
        <v>0</v>
      </c>
      <c r="H64" s="165">
        <f>Assumptions!$B$23</f>
        <v>0.02</v>
      </c>
      <c r="I64" s="173">
        <f t="shared" si="19"/>
        <v>0</v>
      </c>
      <c r="J64" s="173">
        <f>(G64*I64*Assumptions!$B$28)+(G63*I63*Assumptions!$B$27)+(G62*I62*Assumptions!$B$26)</f>
        <v>0</v>
      </c>
      <c r="K64" s="175">
        <f t="shared" ca="1" si="17"/>
        <v>1.1571586041670355E-8</v>
      </c>
      <c r="L64" s="175">
        <f t="shared" ca="1" si="25"/>
        <v>3.094242107542653E-10</v>
      </c>
      <c r="M64" s="174">
        <f t="shared" ca="1" si="26"/>
        <v>0</v>
      </c>
      <c r="N64" s="195">
        <f t="shared" ca="1" si="24"/>
        <v>1.188101025242462E-8</v>
      </c>
    </row>
    <row r="65" spans="2:14" ht="15" thickBot="1">
      <c r="B65" s="155">
        <f t="shared" si="12"/>
        <v>2060</v>
      </c>
      <c r="C65" s="177">
        <f t="shared" ca="1" si="16"/>
        <v>1.188101025242462E-8</v>
      </c>
      <c r="D65" s="177">
        <v>0</v>
      </c>
      <c r="E65" s="177">
        <v>0</v>
      </c>
      <c r="F65" s="193">
        <f ca="1">OFFSET($L$15,0,B65-Assumptions!$B$3)</f>
        <v>0</v>
      </c>
      <c r="G65" s="193">
        <f>'Cost Recovery Timing'!U49</f>
        <v>0</v>
      </c>
      <c r="H65" s="168">
        <f>Assumptions!$B$23</f>
        <v>0.02</v>
      </c>
      <c r="I65" s="193">
        <f t="shared" si="19"/>
        <v>0</v>
      </c>
      <c r="J65" s="193">
        <f>(G65*I65*Assumptions!$B$28)+(G64*I64*Assumptions!$B$27)+(G63*I63*Assumptions!$B$26)</f>
        <v>0</v>
      </c>
      <c r="K65" s="194">
        <f t="shared" ca="1" si="17"/>
        <v>1.188101025242462E-8</v>
      </c>
      <c r="L65" s="194">
        <f t="shared" ca="1" si="25"/>
        <v>3.1769821414983437E-10</v>
      </c>
      <c r="M65" s="196">
        <f t="shared" ca="1" si="26"/>
        <v>0</v>
      </c>
      <c r="N65" s="197">
        <f t="shared" ca="1" si="24"/>
        <v>1.2198708466574454E-8</v>
      </c>
    </row>
    <row r="66" spans="2:14">
      <c r="B66" s="95"/>
      <c r="C66" s="97"/>
      <c r="D66" s="98"/>
      <c r="E66" s="99"/>
      <c r="F66" s="100"/>
      <c r="G66" s="98"/>
      <c r="H66" s="98"/>
      <c r="I66" s="101"/>
      <c r="J66" s="101"/>
      <c r="K66" s="102"/>
      <c r="L66" s="103"/>
    </row>
    <row r="67" spans="2:14">
      <c r="B67" s="95"/>
      <c r="C67" s="97"/>
      <c r="D67" s="98"/>
      <c r="E67" s="99"/>
      <c r="F67" s="100"/>
      <c r="G67" s="98"/>
      <c r="H67" s="98"/>
      <c r="I67" s="101"/>
      <c r="J67" s="101"/>
      <c r="K67" s="102"/>
      <c r="L67" s="103"/>
    </row>
    <row r="68" spans="2:14">
      <c r="B68" s="95"/>
      <c r="C68" s="97"/>
      <c r="D68" s="98"/>
      <c r="E68" s="99"/>
      <c r="F68" s="100"/>
      <c r="G68" s="98"/>
      <c r="H68" s="98"/>
      <c r="I68" s="101"/>
      <c r="J68" s="101"/>
      <c r="K68" s="102"/>
      <c r="L68" s="103"/>
    </row>
    <row r="69" spans="2:14">
      <c r="B69" s="95"/>
      <c r="C69" s="97"/>
      <c r="D69" s="98"/>
      <c r="E69" s="99"/>
      <c r="F69" s="100"/>
      <c r="G69" s="98"/>
      <c r="H69" s="98"/>
      <c r="I69" s="101"/>
      <c r="J69" s="101"/>
      <c r="K69" s="102"/>
      <c r="L69" s="103"/>
    </row>
    <row r="70" spans="2:14">
      <c r="B70" s="95"/>
      <c r="C70" s="97"/>
      <c r="D70" s="98"/>
      <c r="E70" s="99"/>
      <c r="F70" s="100"/>
      <c r="G70" s="98"/>
      <c r="H70" s="98"/>
      <c r="I70" s="101"/>
      <c r="J70" s="101"/>
      <c r="K70" s="102"/>
      <c r="L70" s="103"/>
    </row>
    <row r="71" spans="2:14">
      <c r="B71" s="95"/>
      <c r="C71" s="97"/>
      <c r="D71" s="98"/>
      <c r="E71" s="99"/>
      <c r="F71" s="100"/>
      <c r="G71" s="98"/>
      <c r="H71" s="98"/>
      <c r="I71" s="101"/>
      <c r="J71" s="101"/>
      <c r="K71" s="102"/>
      <c r="L71" s="103"/>
    </row>
    <row r="72" spans="2:14">
      <c r="B72" s="95"/>
      <c r="C72" s="97"/>
      <c r="D72" s="98"/>
      <c r="E72" s="99"/>
      <c r="F72" s="100"/>
      <c r="G72" s="98"/>
      <c r="H72" s="98"/>
      <c r="I72" s="101"/>
      <c r="J72" s="101"/>
      <c r="K72" s="102"/>
      <c r="L72" s="103"/>
    </row>
    <row r="73" spans="2:14">
      <c r="B73" s="95"/>
      <c r="C73" s="97"/>
      <c r="D73" s="98"/>
      <c r="E73" s="99"/>
      <c r="F73" s="100"/>
      <c r="G73" s="98"/>
      <c r="H73" s="98"/>
      <c r="I73" s="101"/>
      <c r="J73" s="101"/>
      <c r="K73" s="102"/>
      <c r="L73" s="103"/>
    </row>
    <row r="74" spans="2:14">
      <c r="B74" s="95"/>
      <c r="C74" s="97"/>
      <c r="D74" s="98"/>
      <c r="E74" s="99"/>
      <c r="F74" s="100"/>
      <c r="G74" s="98"/>
      <c r="H74" s="98"/>
      <c r="I74" s="101"/>
      <c r="J74" s="101"/>
      <c r="K74" s="102"/>
      <c r="L74" s="103"/>
    </row>
    <row r="75" spans="2:14">
      <c r="B75" s="95"/>
      <c r="C75" s="97"/>
      <c r="D75" s="98"/>
      <c r="E75" s="99"/>
      <c r="F75" s="100"/>
      <c r="G75" s="98"/>
      <c r="H75" s="98"/>
      <c r="I75" s="101"/>
      <c r="J75" s="101"/>
      <c r="K75" s="102"/>
      <c r="L75" s="103"/>
    </row>
    <row r="76" spans="2:14">
      <c r="B76" s="95"/>
      <c r="C76" s="97"/>
      <c r="D76" s="98"/>
      <c r="E76" s="99"/>
      <c r="F76" s="100"/>
      <c r="G76" s="98"/>
      <c r="H76" s="98"/>
      <c r="I76" s="101"/>
      <c r="J76" s="101"/>
      <c r="K76" s="102"/>
      <c r="L76" s="103"/>
    </row>
  </sheetData>
  <dataConsolidate/>
  <mergeCells count="24">
    <mergeCell ref="B3:J3"/>
    <mergeCell ref="B4:J4"/>
    <mergeCell ref="B5:J5"/>
    <mergeCell ref="J8:J10"/>
    <mergeCell ref="A8:A10"/>
    <mergeCell ref="B8:B10"/>
    <mergeCell ref="C8:E8"/>
    <mergeCell ref="F8:F9"/>
    <mergeCell ref="I8:I10"/>
    <mergeCell ref="C9:C10"/>
    <mergeCell ref="D9:D10"/>
    <mergeCell ref="O57:Q59"/>
    <mergeCell ref="C21:C26"/>
    <mergeCell ref="D21:D24"/>
    <mergeCell ref="E9:E10"/>
    <mergeCell ref="J21:J22"/>
    <mergeCell ref="L21:M21"/>
    <mergeCell ref="F21:F23"/>
    <mergeCell ref="G21:G23"/>
    <mergeCell ref="K21:K22"/>
    <mergeCell ref="N21:N25"/>
    <mergeCell ref="L22:M22"/>
    <mergeCell ref="K8:K9"/>
    <mergeCell ref="E21:E24"/>
  </mergeCells>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DD7D5-6A60-451F-848C-FFA87EBAEAC8}">
  <sheetPr codeName="Sheet51">
    <tabColor theme="4" tint="0.39997558519241921"/>
    <pageSetUpPr fitToPage="1"/>
  </sheetPr>
  <dimension ref="B2:R26"/>
  <sheetViews>
    <sheetView showGridLines="0" workbookViewId="0">
      <selection activeCell="E42" sqref="E42"/>
    </sheetView>
  </sheetViews>
  <sheetFormatPr defaultColWidth="9.109375" defaultRowHeight="12"/>
  <cols>
    <col min="1" max="1" width="9.109375" style="51"/>
    <col min="2" max="2" width="8" style="51" bestFit="1" customWidth="1"/>
    <col min="3" max="3" width="34.109375" style="51" bestFit="1" customWidth="1"/>
    <col min="4" max="11" width="13.6640625" style="51" customWidth="1"/>
    <col min="12" max="12" width="14.88671875" style="51" customWidth="1"/>
    <col min="13" max="13" width="15.88671875" style="51" customWidth="1"/>
    <col min="14" max="14" width="18.6640625" style="51" customWidth="1"/>
    <col min="15" max="15" width="17.5546875" style="51" customWidth="1"/>
    <col min="16" max="16" width="18.109375" style="51" customWidth="1"/>
    <col min="17" max="17" width="40.109375" style="51" customWidth="1"/>
    <col min="18" max="18" width="20.44140625" style="51" customWidth="1"/>
    <col min="19" max="16384" width="9.109375" style="51"/>
  </cols>
  <sheetData>
    <row r="2" spans="2:18">
      <c r="B2" s="53"/>
    </row>
    <row r="3" spans="2:18" ht="25.2" thickBot="1">
      <c r="B3" s="64" t="s">
        <v>160</v>
      </c>
    </row>
    <row r="4" spans="2:18" ht="40.35" customHeight="1" thickBot="1">
      <c r="B4" s="729" t="s">
        <v>31</v>
      </c>
      <c r="C4" s="730"/>
      <c r="D4" s="731" t="s">
        <v>73</v>
      </c>
      <c r="E4" s="730"/>
      <c r="F4" s="731" t="s">
        <v>2</v>
      </c>
      <c r="G4" s="730"/>
      <c r="H4" s="731" t="s">
        <v>55</v>
      </c>
      <c r="I4" s="730"/>
      <c r="J4" s="731" t="s">
        <v>78</v>
      </c>
      <c r="K4" s="730"/>
      <c r="L4" s="300" t="s">
        <v>152</v>
      </c>
      <c r="M4" s="759" t="s">
        <v>92</v>
      </c>
      <c r="N4" s="760"/>
      <c r="O4" s="759" t="s">
        <v>94</v>
      </c>
      <c r="P4" s="761"/>
    </row>
    <row r="5" spans="2:18" s="54" customFormat="1" ht="46.05" customHeight="1">
      <c r="B5" s="301" t="s">
        <v>59</v>
      </c>
      <c r="C5" s="302" t="s">
        <v>60</v>
      </c>
      <c r="D5" s="303" t="s">
        <v>68</v>
      </c>
      <c r="E5" s="303" t="s">
        <v>69</v>
      </c>
      <c r="F5" s="303" t="s">
        <v>4</v>
      </c>
      <c r="G5" s="303" t="s">
        <v>5</v>
      </c>
      <c r="H5" s="304" t="s">
        <v>53</v>
      </c>
      <c r="I5" s="304" t="s">
        <v>54</v>
      </c>
      <c r="J5" s="305" t="s">
        <v>77</v>
      </c>
      <c r="K5" s="305" t="s">
        <v>117</v>
      </c>
      <c r="L5" s="305" t="s">
        <v>152</v>
      </c>
      <c r="M5" s="304" t="s">
        <v>129</v>
      </c>
      <c r="N5" s="304" t="s">
        <v>130</v>
      </c>
      <c r="O5" s="304" t="s">
        <v>57</v>
      </c>
      <c r="P5" s="306" t="s">
        <v>58</v>
      </c>
      <c r="Q5"/>
      <c r="R5"/>
    </row>
    <row r="6" spans="2:18" s="54" customFormat="1" ht="29.1" customHeight="1">
      <c r="B6" s="307" t="s">
        <v>155</v>
      </c>
      <c r="C6" s="308" t="str">
        <f>INDEX('Project List '!$C$6:$C$21, MATCH(B6,'Project List '!$B$6:$B$21,0))</f>
        <v>Sub-Regional Raw Water Pipeline - Phase 1</v>
      </c>
      <c r="D6" s="309" t="str">
        <f>INDEX('Project List '!$E$6:$E$21, MATCH(B6,'Project List '!$B$6:$B$21,0))</f>
        <v>Town</v>
      </c>
      <c r="E6" s="309" t="str">
        <f>INDEX('Project List '!$F$6:$F$21, MATCH(B6,'Project List '!$B$6:$B$21,0))</f>
        <v>OSL</v>
      </c>
      <c r="F6" s="309">
        <f>INDEX('Project List '!$G$6:$G$21, MATCH(B6,'Project List '!$B$6:$B$21,0))</f>
        <v>2026</v>
      </c>
      <c r="G6" s="309">
        <f>INDEX('Project List '!$H$6:$H$21, MATCH(B6,'Project List '!$B$6:$B$21,0))</f>
        <v>2026</v>
      </c>
      <c r="H6" s="310">
        <f>INDEX('Project List '!$I$6:$I$21, MATCH(B6,'Project List '!$B$6:$B$21,0))</f>
        <v>1</v>
      </c>
      <c r="I6" s="310">
        <f>INDEX('Project List '!$J$6:$J$21, MATCH(B6,'Project List '!$B$6:$B$21,0))</f>
        <v>0</v>
      </c>
      <c r="J6" s="310">
        <f>INDEX('Project List '!$K$6:$K$21, MATCH(B6,'Project List '!$B$6:$B$21,0))</f>
        <v>0.73877784249971523</v>
      </c>
      <c r="K6" s="310">
        <f>INDEX('Project List '!$L$6:$L$21, MATCH(B6,'Project List '!$B$6:$B$21,0))</f>
        <v>0.26122215750028471</v>
      </c>
      <c r="L6" s="311">
        <f>INDEX('Project List '!$AC$6:$AC$21, MATCH(B6,'Project List '!$B$6:$B$21,0))</f>
        <v>30189414</v>
      </c>
      <c r="M6" s="311">
        <f>INDEX('Project List '!$X$6:$X$21, MATCH(B6,'Project List '!$B$6:$B$21,0))</f>
        <v>102114508.65000001</v>
      </c>
      <c r="N6" s="549">
        <f>INDEX('Project List '!$AH$6:$AH$21, MATCH(B6,'Project List '!$B$6:$B$21,0))</f>
        <v>19168369.408365507</v>
      </c>
      <c r="O6" s="311">
        <f>INDEX('Project List '!$AI$6:$AI$21, MATCH(B6,'Project List '!$B$6:$B$21,0))</f>
        <v>19168369.408365507</v>
      </c>
      <c r="P6" s="312">
        <f>INDEX('Project List '!$AJ$6:$AJ$21, MATCH(B6,'Project List '!$B$6:$B$21,0))</f>
        <v>0</v>
      </c>
      <c r="Q6"/>
      <c r="R6"/>
    </row>
    <row r="7" spans="2:18" s="54" customFormat="1" ht="29.1" customHeight="1">
      <c r="B7" s="313" t="s">
        <v>156</v>
      </c>
      <c r="C7" s="314" t="str">
        <f>INDEX('Project List '!$C$6:$C$21, MATCH(B7,'Project List '!$B$6:$B$21,0))</f>
        <v>Sub-Regional Raw Water Pipeline - Phase 2</v>
      </c>
      <c r="D7" s="315" t="str">
        <f>INDEX('Project List '!$E$6:$E$21, MATCH(B7,'Project List '!$B$6:$B$21,0))</f>
        <v>Town</v>
      </c>
      <c r="E7" s="315" t="str">
        <f>INDEX('Project List '!$F$6:$F$21, MATCH(B7,'Project List '!$B$6:$B$21,0))</f>
        <v>OSL</v>
      </c>
      <c r="F7" s="315">
        <f>INDEX('Project List '!$G$6:$G$21, MATCH(B7,'Project List '!$B$6:$B$21,0))</f>
        <v>2033</v>
      </c>
      <c r="G7" s="315">
        <f>INDEX('Project List '!$H$6:$H$21, MATCH(B7,'Project List '!$B$6:$B$21,0))</f>
        <v>2034</v>
      </c>
      <c r="H7" s="316">
        <f>INDEX('Project List '!$I$6:$I$21, MATCH(B7,'Project List '!$B$6:$B$21,0))</f>
        <v>1</v>
      </c>
      <c r="I7" s="316">
        <f>INDEX('Project List '!$J$6:$J$21, MATCH(B7,'Project List '!$B$6:$B$21,0))</f>
        <v>0</v>
      </c>
      <c r="J7" s="316">
        <f>INDEX('Project List '!$K$6:$K$21, MATCH(B7,'Project List '!$B$6:$B$21,0))</f>
        <v>0.92964012679470442</v>
      </c>
      <c r="K7" s="316">
        <f>INDEX('Project List '!$L$6:$L$21, MATCH(B7,'Project List '!$B$6:$B$21,0))</f>
        <v>7.0359873205295548E-2</v>
      </c>
      <c r="L7" s="317">
        <f>INDEX('Project List '!$AC$6:$AC$21, MATCH(B7,'Project List '!$B$6:$B$21,0))</f>
        <v>0</v>
      </c>
      <c r="M7" s="317">
        <f>INDEX('Project List '!$X$6:$X$21, MATCH(B7,'Project List '!$B$6:$B$21,0))</f>
        <v>13407500</v>
      </c>
      <c r="N7" s="317">
        <f>INDEX('Project List '!$AH$6:$AH$21, MATCH(B7,'Project List '!$B$6:$B$21,0))</f>
        <v>12464150</v>
      </c>
      <c r="O7" s="317">
        <f>INDEX('Project List '!$AI$6:$AI$21, MATCH(B7,'Project List '!$B$6:$B$21,0))</f>
        <v>12464150</v>
      </c>
      <c r="P7" s="318">
        <f>INDEX('Project List '!$AJ$6:$AJ$21, MATCH(B7,'Project List '!$B$6:$B$21,0))</f>
        <v>0</v>
      </c>
      <c r="Q7"/>
      <c r="R7"/>
    </row>
    <row r="8" spans="2:18" ht="12.6" thickBot="1">
      <c r="B8" s="319"/>
      <c r="C8" s="320"/>
      <c r="D8" s="321"/>
      <c r="E8" s="321"/>
      <c r="F8" s="320"/>
      <c r="G8" s="320"/>
      <c r="H8" s="320"/>
      <c r="I8" s="320"/>
      <c r="J8" s="320"/>
      <c r="K8" s="320"/>
      <c r="L8" s="320"/>
      <c r="M8" s="322">
        <f>SUM(M6:M7)</f>
        <v>115522008.65000001</v>
      </c>
      <c r="N8" s="320"/>
      <c r="O8" s="322">
        <f>SUM(O6:O7)</f>
        <v>31632519.408365507</v>
      </c>
      <c r="P8" s="323"/>
    </row>
    <row r="9" spans="2:18">
      <c r="D9" s="55"/>
      <c r="E9" s="55"/>
      <c r="M9" s="134"/>
      <c r="O9" s="134"/>
    </row>
    <row r="11" spans="2:18" hidden="1">
      <c r="B11" s="50" t="s">
        <v>107</v>
      </c>
      <c r="D11" s="55"/>
      <c r="E11" s="55"/>
    </row>
    <row r="12" spans="2:18" ht="32.85" hidden="1" customHeight="1">
      <c r="B12" s="59" t="s">
        <v>59</v>
      </c>
      <c r="C12" s="60" t="s">
        <v>60</v>
      </c>
      <c r="D12" s="61" t="s">
        <v>158</v>
      </c>
      <c r="E12" s="756" t="s">
        <v>157</v>
      </c>
      <c r="F12" s="756"/>
    </row>
    <row r="13" spans="2:18" hidden="1">
      <c r="B13" s="54" t="s">
        <v>155</v>
      </c>
      <c r="C13" s="55" t="str">
        <f>INDEX('Project List '!$C$6:$C$21, MATCH(B13,'Project List '!$B$6:$B$21,0))</f>
        <v>Sub-Regional Raw Water Pipeline - Phase 1</v>
      </c>
      <c r="D13" s="127"/>
      <c r="E13" s="757"/>
      <c r="F13" s="757"/>
    </row>
    <row r="14" spans="2:18" ht="12.6" hidden="1" thickBot="1">
      <c r="B14" s="57" t="s">
        <v>156</v>
      </c>
      <c r="C14" s="58" t="str">
        <f>INDEX('Project List '!$C$6:$C$21, MATCH(B14,'Project List '!$B$6:$B$21,0))</f>
        <v>Sub-Regional Raw Water Pipeline - Phase 2</v>
      </c>
      <c r="D14" s="128"/>
      <c r="E14" s="137"/>
      <c r="F14" s="137"/>
    </row>
    <row r="15" spans="2:18" hidden="1">
      <c r="D15" s="117"/>
      <c r="E15" s="758"/>
      <c r="F15" s="758"/>
    </row>
    <row r="16" spans="2:18" hidden="1"/>
    <row r="21" spans="6:6">
      <c r="F21" s="142"/>
    </row>
    <row r="22" spans="6:6">
      <c r="F22" s="142"/>
    </row>
    <row r="23" spans="6:6">
      <c r="F23" s="142"/>
    </row>
    <row r="24" spans="6:6">
      <c r="F24" s="142"/>
    </row>
    <row r="25" spans="6:6">
      <c r="F25" s="142"/>
    </row>
    <row r="26" spans="6:6">
      <c r="F26" s="142"/>
    </row>
  </sheetData>
  <mergeCells count="10">
    <mergeCell ref="E12:F12"/>
    <mergeCell ref="E13:F13"/>
    <mergeCell ref="E15:F15"/>
    <mergeCell ref="M4:N4"/>
    <mergeCell ref="O4:P4"/>
    <mergeCell ref="B4:C4"/>
    <mergeCell ref="D4:E4"/>
    <mergeCell ref="F4:G4"/>
    <mergeCell ref="H4:I4"/>
    <mergeCell ref="J4:K4"/>
  </mergeCells>
  <pageMargins left="0.25" right="0.25" top="0.75" bottom="0.75" header="0.3" footer="0.3"/>
  <pageSetup paperSize="4" scale="2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8CF94-A5B9-41E7-A261-EA4FEF32D507}">
  <sheetPr codeName="Sheet69">
    <tabColor rgb="FF0070C0"/>
  </sheetPr>
  <dimension ref="A2:BU76"/>
  <sheetViews>
    <sheetView showGridLines="0" topLeftCell="B18" zoomScale="70" zoomScaleNormal="70" workbookViewId="0">
      <selection activeCell="K69" sqref="K69:K70"/>
    </sheetView>
  </sheetViews>
  <sheetFormatPr defaultColWidth="9.109375" defaultRowHeight="14.4"/>
  <cols>
    <col min="1" max="1" width="39.5546875" customWidth="1"/>
    <col min="2" max="2" width="69.5546875" customWidth="1"/>
    <col min="3" max="3" width="20.44140625" customWidth="1"/>
    <col min="4" max="5" width="19.5546875" customWidth="1"/>
    <col min="6" max="6" width="25.44140625" customWidth="1"/>
    <col min="7" max="9" width="23.109375" style="1" customWidth="1"/>
    <col min="10" max="12" width="25.109375" customWidth="1"/>
    <col min="13" max="13" width="18.6640625" customWidth="1"/>
    <col min="14" max="14" width="23.21875" customWidth="1"/>
    <col min="15" max="15" width="21" customWidth="1"/>
    <col min="16" max="16" width="19.44140625" customWidth="1"/>
    <col min="17" max="17" width="18.21875" customWidth="1"/>
    <col min="18" max="18" width="20.109375" customWidth="1"/>
    <col min="19" max="19" width="17.88671875" customWidth="1"/>
    <col min="20" max="20" width="18.21875" customWidth="1"/>
    <col min="21" max="21" width="16.88671875" customWidth="1"/>
    <col min="22" max="22" width="20" customWidth="1"/>
    <col min="23" max="23" width="18.21875" customWidth="1"/>
    <col min="24" max="24" width="19.5546875" customWidth="1"/>
    <col min="25" max="25" width="18.6640625" customWidth="1"/>
    <col min="26" max="26" width="20" customWidth="1"/>
    <col min="27" max="27" width="17.109375" customWidth="1"/>
    <col min="28" max="28" width="16.44140625" customWidth="1"/>
    <col min="29" max="29" width="15.44140625" customWidth="1"/>
    <col min="30" max="30" width="16" customWidth="1"/>
    <col min="31" max="31" width="15.88671875" customWidth="1"/>
    <col min="32" max="34" width="18.21875" customWidth="1"/>
    <col min="35" max="35" width="17.44140625" customWidth="1"/>
    <col min="36" max="36" width="19.5546875" customWidth="1"/>
    <col min="37" max="37" width="17.44140625" customWidth="1"/>
    <col min="38" max="38" width="16.44140625" customWidth="1"/>
    <col min="39" max="73" width="18.88671875" customWidth="1"/>
    <col min="74" max="74" width="20.21875" customWidth="1"/>
    <col min="75" max="75" width="18.88671875" customWidth="1"/>
    <col min="76" max="76" width="20" customWidth="1"/>
    <col min="77" max="77" width="17.109375" customWidth="1"/>
    <col min="78" max="78" width="20.21875" customWidth="1"/>
    <col min="79" max="79" width="16.88671875" customWidth="1"/>
    <col min="80" max="80" width="16.21875" customWidth="1"/>
    <col min="81" max="81" width="21.109375" customWidth="1"/>
    <col min="82" max="82" width="19.109375" customWidth="1"/>
  </cols>
  <sheetData>
    <row r="2" spans="1:73">
      <c r="B2" s="554"/>
    </row>
    <row r="3" spans="1:73" ht="15.6">
      <c r="B3" s="746" t="s">
        <v>99</v>
      </c>
      <c r="C3" s="746"/>
      <c r="D3" s="746"/>
      <c r="E3" s="746"/>
      <c r="F3" s="746"/>
      <c r="G3" s="746"/>
      <c r="H3" s="746"/>
      <c r="I3" s="746"/>
      <c r="J3" s="746"/>
      <c r="K3" s="14"/>
      <c r="L3" s="14"/>
      <c r="M3" s="2"/>
      <c r="N3" s="26"/>
      <c r="O3" s="27"/>
      <c r="P3" s="27"/>
      <c r="Q3" s="28"/>
      <c r="R3" s="26"/>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row>
    <row r="4" spans="1:73" ht="15.6">
      <c r="B4" s="746" t="str">
        <f>Assumptions!B3&amp;" $s"</f>
        <v>2026 $s</v>
      </c>
      <c r="C4" s="746"/>
      <c r="D4" s="746"/>
      <c r="E4" s="746"/>
      <c r="F4" s="746"/>
      <c r="G4" s="746"/>
      <c r="H4" s="746"/>
      <c r="I4" s="746"/>
      <c r="J4" s="746"/>
      <c r="K4" s="14"/>
      <c r="L4" s="14"/>
      <c r="M4" s="14"/>
      <c r="N4" s="26"/>
      <c r="O4" s="27"/>
      <c r="P4" s="27"/>
      <c r="Q4" s="28"/>
      <c r="R4" s="26"/>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row>
    <row r="5" spans="1:73" ht="15.6">
      <c r="K5" s="14"/>
      <c r="L5" s="14"/>
      <c r="M5" s="48"/>
      <c r="N5" s="26"/>
      <c r="O5" s="27"/>
      <c r="P5" s="27"/>
      <c r="Q5" s="28"/>
      <c r="R5" s="26"/>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row>
    <row r="6" spans="1:73" ht="15.6" hidden="1">
      <c r="K6" s="14"/>
      <c r="L6" s="69">
        <v>1</v>
      </c>
      <c r="M6" s="70">
        <f>(1+M7)</f>
        <v>1.0249999999999999</v>
      </c>
      <c r="N6" s="70">
        <f>+(1+N7)*M6</f>
        <v>1.0506249999999999</v>
      </c>
      <c r="O6" s="70">
        <f>+(1+O7)*N6</f>
        <v>1.0768906249999999</v>
      </c>
      <c r="P6" s="70">
        <f t="shared" ref="P6:BS6" si="0">+(1+P7)*O6</f>
        <v>1.1038128906249998</v>
      </c>
      <c r="Q6" s="70">
        <f t="shared" si="0"/>
        <v>1.1314082128906247</v>
      </c>
      <c r="R6" s="70">
        <f t="shared" si="0"/>
        <v>1.1596934182128902</v>
      </c>
      <c r="S6" s="70">
        <f t="shared" si="0"/>
        <v>1.1886857536682123</v>
      </c>
      <c r="T6" s="70">
        <f t="shared" si="0"/>
        <v>1.2184028975099175</v>
      </c>
      <c r="U6" s="70">
        <f t="shared" si="0"/>
        <v>1.2488629699476652</v>
      </c>
      <c r="V6" s="70">
        <f t="shared" si="0"/>
        <v>1.2800845441963566</v>
      </c>
      <c r="W6" s="70">
        <f t="shared" si="0"/>
        <v>1.3120866578012655</v>
      </c>
      <c r="X6" s="70">
        <f t="shared" si="0"/>
        <v>1.3448888242462971</v>
      </c>
      <c r="Y6" s="70">
        <f t="shared" si="0"/>
        <v>1.3785110448524545</v>
      </c>
      <c r="Z6" s="70">
        <f t="shared" si="0"/>
        <v>1.4129738209737657</v>
      </c>
      <c r="AA6" s="70">
        <f t="shared" si="0"/>
        <v>1.4482981664981096</v>
      </c>
      <c r="AB6" s="70">
        <f t="shared" si="0"/>
        <v>1.4845056206605622</v>
      </c>
      <c r="AC6" s="70">
        <f t="shared" si="0"/>
        <v>1.5216182611770761</v>
      </c>
      <c r="AD6" s="70">
        <f t="shared" si="0"/>
        <v>1.5596587177065029</v>
      </c>
      <c r="AE6" s="70">
        <f t="shared" si="0"/>
        <v>1.5986501856491653</v>
      </c>
      <c r="AF6" s="70">
        <f t="shared" si="0"/>
        <v>1.6386164402903942</v>
      </c>
      <c r="AG6" s="70">
        <f t="shared" si="0"/>
        <v>1.6795818512976539</v>
      </c>
      <c r="AH6" s="70">
        <f t="shared" si="0"/>
        <v>1.721571397580095</v>
      </c>
      <c r="AI6" s="70">
        <f t="shared" si="0"/>
        <v>1.7646106825195973</v>
      </c>
      <c r="AJ6" s="70">
        <f t="shared" si="0"/>
        <v>1.8087259495825871</v>
      </c>
      <c r="AK6" s="70">
        <f t="shared" si="0"/>
        <v>1.8539440983221516</v>
      </c>
      <c r="AL6" s="70">
        <f t="shared" si="0"/>
        <v>1.9002927007802053</v>
      </c>
      <c r="AM6" s="70">
        <f t="shared" si="0"/>
        <v>1.9478000182997102</v>
      </c>
      <c r="AN6" s="70">
        <f t="shared" si="0"/>
        <v>1.9964950187572028</v>
      </c>
      <c r="AO6" s="70">
        <f>+(1+AO7)*AN6</f>
        <v>2.0464073942261325</v>
      </c>
      <c r="AP6" s="70">
        <f t="shared" si="0"/>
        <v>2.0975675790817858</v>
      </c>
      <c r="AQ6" s="70">
        <f t="shared" si="0"/>
        <v>2.1500067685588302</v>
      </c>
      <c r="AR6" s="70">
        <f t="shared" si="0"/>
        <v>2.2037569377728006</v>
      </c>
      <c r="AS6" s="70">
        <f t="shared" si="0"/>
        <v>2.2588508612171205</v>
      </c>
      <c r="AT6" s="70">
        <f t="shared" si="0"/>
        <v>2.3153221327475482</v>
      </c>
      <c r="AU6" s="70">
        <f t="shared" si="0"/>
        <v>2.3732051860662366</v>
      </c>
      <c r="AV6" s="70">
        <f t="shared" si="0"/>
        <v>2.4325353157178924</v>
      </c>
      <c r="AW6" s="70">
        <f t="shared" si="0"/>
        <v>2.4933486986108395</v>
      </c>
      <c r="AX6" s="70">
        <f t="shared" si="0"/>
        <v>2.5556824160761105</v>
      </c>
      <c r="AY6" s="70">
        <f t="shared" si="0"/>
        <v>2.6195744764780131</v>
      </c>
      <c r="AZ6" s="70">
        <f t="shared" si="0"/>
        <v>2.6850638383899632</v>
      </c>
      <c r="BA6" s="70">
        <f t="shared" si="0"/>
        <v>2.7521904343497119</v>
      </c>
      <c r="BB6" s="70">
        <f t="shared" si="0"/>
        <v>2.8209951952084547</v>
      </c>
      <c r="BC6" s="70">
        <f t="shared" si="0"/>
        <v>2.8915200750886658</v>
      </c>
      <c r="BD6" s="70">
        <f t="shared" si="0"/>
        <v>2.9638080769658823</v>
      </c>
      <c r="BE6" s="70">
        <f t="shared" si="0"/>
        <v>3.0379032788900293</v>
      </c>
      <c r="BF6" s="70">
        <f t="shared" si="0"/>
        <v>3.1138508608622799</v>
      </c>
      <c r="BG6" s="70">
        <f t="shared" si="0"/>
        <v>3.1916971323838368</v>
      </c>
      <c r="BH6" s="70">
        <f t="shared" si="0"/>
        <v>3.2714895606934324</v>
      </c>
      <c r="BI6" s="70">
        <f t="shared" si="0"/>
        <v>3.353276799710768</v>
      </c>
      <c r="BJ6" s="70">
        <f t="shared" si="0"/>
        <v>3.437108719703537</v>
      </c>
      <c r="BK6" s="70">
        <f t="shared" si="0"/>
        <v>3.523036437696125</v>
      </c>
      <c r="BL6" s="70">
        <f t="shared" si="0"/>
        <v>3.6111123486385277</v>
      </c>
      <c r="BM6" s="70">
        <f t="shared" si="0"/>
        <v>3.7013901573544907</v>
      </c>
      <c r="BN6" s="70">
        <f t="shared" si="0"/>
        <v>3.7939249112883529</v>
      </c>
      <c r="BO6" s="70">
        <f t="shared" si="0"/>
        <v>3.8887730340705615</v>
      </c>
      <c r="BP6" s="70">
        <f t="shared" si="0"/>
        <v>3.9859923599223253</v>
      </c>
      <c r="BQ6" s="70">
        <f t="shared" si="0"/>
        <v>4.0856421689203835</v>
      </c>
      <c r="BR6" s="70">
        <f t="shared" si="0"/>
        <v>4.1877832231433922</v>
      </c>
      <c r="BS6" s="71">
        <f t="shared" si="0"/>
        <v>4.2924778037219768</v>
      </c>
      <c r="BT6" s="29"/>
      <c r="BU6" s="29"/>
    </row>
    <row r="7" spans="1:73" ht="15" thickBot="1">
      <c r="E7" s="3"/>
      <c r="F7" s="10"/>
      <c r="G7" s="10"/>
      <c r="H7" s="10"/>
      <c r="I7" s="4"/>
      <c r="J7" s="4"/>
      <c r="K7" s="4"/>
      <c r="L7" s="226">
        <f>Assumptions!$B$18</f>
        <v>2.5000000000000001E-2</v>
      </c>
      <c r="M7" s="226">
        <f>Assumptions!$B$18</f>
        <v>2.5000000000000001E-2</v>
      </c>
      <c r="N7" s="226">
        <f>Assumptions!$B$18</f>
        <v>2.5000000000000001E-2</v>
      </c>
      <c r="O7" s="226">
        <f>Assumptions!$B$18</f>
        <v>2.5000000000000001E-2</v>
      </c>
      <c r="P7" s="226">
        <f>Assumptions!$B$18</f>
        <v>2.5000000000000001E-2</v>
      </c>
      <c r="Q7" s="226">
        <f>Assumptions!$B$18</f>
        <v>2.5000000000000001E-2</v>
      </c>
      <c r="R7" s="226">
        <f>Assumptions!$B$18</f>
        <v>2.5000000000000001E-2</v>
      </c>
      <c r="S7" s="226">
        <f>Assumptions!$B$18</f>
        <v>2.5000000000000001E-2</v>
      </c>
      <c r="T7" s="226">
        <f>Assumptions!$B$18</f>
        <v>2.5000000000000001E-2</v>
      </c>
      <c r="U7" s="226">
        <f>Assumptions!$B$18</f>
        <v>2.5000000000000001E-2</v>
      </c>
      <c r="V7" s="226">
        <f>Assumptions!$B$18</f>
        <v>2.5000000000000001E-2</v>
      </c>
      <c r="W7" s="226">
        <f>Assumptions!$B$18</f>
        <v>2.5000000000000001E-2</v>
      </c>
      <c r="X7" s="226">
        <f>Assumptions!$B$18</f>
        <v>2.5000000000000001E-2</v>
      </c>
      <c r="Y7" s="226">
        <f>Assumptions!$B$18</f>
        <v>2.5000000000000001E-2</v>
      </c>
      <c r="Z7" s="226">
        <f>Assumptions!$B$18</f>
        <v>2.5000000000000001E-2</v>
      </c>
      <c r="AA7" s="226">
        <f>Assumptions!$B$18</f>
        <v>2.5000000000000001E-2</v>
      </c>
      <c r="AB7" s="226">
        <f>Assumptions!$B$18</f>
        <v>2.5000000000000001E-2</v>
      </c>
      <c r="AC7" s="226">
        <f>Assumptions!$B$18</f>
        <v>2.5000000000000001E-2</v>
      </c>
      <c r="AD7" s="226">
        <f>Assumptions!$B$18</f>
        <v>2.5000000000000001E-2</v>
      </c>
      <c r="AE7" s="226">
        <f>Assumptions!$B$18</f>
        <v>2.5000000000000001E-2</v>
      </c>
      <c r="AF7" s="226">
        <f>Assumptions!$B$18</f>
        <v>2.5000000000000001E-2</v>
      </c>
      <c r="AG7" s="226">
        <f>Assumptions!$B$18</f>
        <v>2.5000000000000001E-2</v>
      </c>
      <c r="AH7" s="226">
        <f>Assumptions!$B$18</f>
        <v>2.5000000000000001E-2</v>
      </c>
      <c r="AI7" s="226">
        <f>Assumptions!$B$18</f>
        <v>2.5000000000000001E-2</v>
      </c>
      <c r="AJ7" s="226">
        <f>Assumptions!$B$18</f>
        <v>2.5000000000000001E-2</v>
      </c>
      <c r="AK7" s="226">
        <f>Assumptions!$B$18</f>
        <v>2.5000000000000001E-2</v>
      </c>
      <c r="AL7" s="226">
        <f>Assumptions!$B$18</f>
        <v>2.5000000000000001E-2</v>
      </c>
      <c r="AM7" s="226">
        <f>Assumptions!$B$18</f>
        <v>2.5000000000000001E-2</v>
      </c>
      <c r="AN7" s="226">
        <f>Assumptions!$B$18</f>
        <v>2.5000000000000001E-2</v>
      </c>
      <c r="AO7" s="226">
        <f>Assumptions!$B$18</f>
        <v>2.5000000000000001E-2</v>
      </c>
      <c r="AP7" s="226">
        <f>Assumptions!$B$18</f>
        <v>2.5000000000000001E-2</v>
      </c>
      <c r="AQ7" s="226">
        <f>Assumptions!$B$18</f>
        <v>2.5000000000000001E-2</v>
      </c>
      <c r="AR7" s="226">
        <f>Assumptions!$B$18</f>
        <v>2.5000000000000001E-2</v>
      </c>
      <c r="AS7" s="226">
        <f>Assumptions!$B$18</f>
        <v>2.5000000000000001E-2</v>
      </c>
      <c r="AT7" s="226">
        <f>Assumptions!$B$18</f>
        <v>2.5000000000000001E-2</v>
      </c>
      <c r="AU7" s="226">
        <f>Assumptions!$B$18</f>
        <v>2.5000000000000001E-2</v>
      </c>
      <c r="AV7" s="226">
        <f>Assumptions!$B$18</f>
        <v>2.5000000000000001E-2</v>
      </c>
      <c r="AW7" s="226">
        <f>Assumptions!$B$18</f>
        <v>2.5000000000000001E-2</v>
      </c>
      <c r="AX7" s="226">
        <f>Assumptions!$B$18</f>
        <v>2.5000000000000001E-2</v>
      </c>
      <c r="AY7" s="226">
        <f>Assumptions!$B$18</f>
        <v>2.5000000000000001E-2</v>
      </c>
      <c r="AZ7" s="226">
        <f>Assumptions!$B$18</f>
        <v>2.5000000000000001E-2</v>
      </c>
      <c r="BA7" s="226">
        <f>Assumptions!$B$18</f>
        <v>2.5000000000000001E-2</v>
      </c>
      <c r="BB7" s="226">
        <f>Assumptions!$B$18</f>
        <v>2.5000000000000001E-2</v>
      </c>
      <c r="BC7" s="226">
        <f>Assumptions!$B$18</f>
        <v>2.5000000000000001E-2</v>
      </c>
      <c r="BD7" s="226">
        <f>Assumptions!$B$18</f>
        <v>2.5000000000000001E-2</v>
      </c>
      <c r="BE7" s="226">
        <f>Assumptions!$B$18</f>
        <v>2.5000000000000001E-2</v>
      </c>
      <c r="BF7" s="226">
        <f>Assumptions!$B$18</f>
        <v>2.5000000000000001E-2</v>
      </c>
      <c r="BG7" s="226">
        <f>Assumptions!$B$18</f>
        <v>2.5000000000000001E-2</v>
      </c>
      <c r="BH7" s="226">
        <f>Assumptions!$B$18</f>
        <v>2.5000000000000001E-2</v>
      </c>
      <c r="BI7" s="226">
        <f>Assumptions!$B$18</f>
        <v>2.5000000000000001E-2</v>
      </c>
      <c r="BJ7" s="226">
        <f>Assumptions!$B$18</f>
        <v>2.5000000000000001E-2</v>
      </c>
      <c r="BK7" s="226">
        <f>Assumptions!$B$18</f>
        <v>2.5000000000000001E-2</v>
      </c>
      <c r="BL7" s="226">
        <f>Assumptions!$B$18</f>
        <v>2.5000000000000001E-2</v>
      </c>
      <c r="BM7" s="226">
        <f>Assumptions!$B$18</f>
        <v>2.5000000000000001E-2</v>
      </c>
      <c r="BN7" s="226">
        <f>Assumptions!$B$18</f>
        <v>2.5000000000000001E-2</v>
      </c>
      <c r="BO7" s="226">
        <f>Assumptions!$B$18</f>
        <v>2.5000000000000001E-2</v>
      </c>
      <c r="BP7" s="226">
        <f>Assumptions!$B$18</f>
        <v>2.5000000000000001E-2</v>
      </c>
      <c r="BQ7" s="226">
        <f>Assumptions!$B$18</f>
        <v>2.5000000000000001E-2</v>
      </c>
      <c r="BR7" s="226">
        <f>Assumptions!$B$18</f>
        <v>2.5000000000000001E-2</v>
      </c>
      <c r="BS7" s="226">
        <f>Assumptions!$B$18</f>
        <v>2.5000000000000001E-2</v>
      </c>
    </row>
    <row r="8" spans="1:73" ht="16.05" customHeight="1">
      <c r="A8" s="750" t="s">
        <v>0</v>
      </c>
      <c r="B8" s="753" t="s">
        <v>1</v>
      </c>
      <c r="C8" s="753" t="s">
        <v>2</v>
      </c>
      <c r="D8" s="753"/>
      <c r="E8" s="753"/>
      <c r="F8" s="754" t="s">
        <v>26</v>
      </c>
      <c r="G8" s="39"/>
      <c r="H8" s="39"/>
      <c r="I8" s="747" t="s">
        <v>20</v>
      </c>
      <c r="J8" s="747" t="s">
        <v>21</v>
      </c>
      <c r="K8" s="762" t="s">
        <v>27</v>
      </c>
      <c r="L8" s="73" t="s">
        <v>40</v>
      </c>
      <c r="M8" s="73"/>
      <c r="N8" s="73"/>
      <c r="O8" s="73"/>
      <c r="P8" s="73"/>
      <c r="Q8" s="73"/>
      <c r="R8" s="73"/>
      <c r="S8" s="73"/>
      <c r="T8" s="73"/>
      <c r="U8" s="73"/>
      <c r="V8" s="73"/>
      <c r="W8" s="73"/>
      <c r="X8" s="73"/>
      <c r="Y8" s="73"/>
      <c r="Z8" s="73"/>
      <c r="AA8" s="73"/>
      <c r="AB8" s="73"/>
      <c r="AC8" s="73"/>
      <c r="AD8" s="73"/>
      <c r="AE8" s="73"/>
      <c r="AF8" s="73"/>
      <c r="AG8" s="73"/>
      <c r="AH8" s="73"/>
      <c r="AI8" s="73"/>
      <c r="AJ8" s="73"/>
      <c r="AK8" s="73"/>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32"/>
    </row>
    <row r="9" spans="1:73" ht="65.7" customHeight="1">
      <c r="A9" s="751"/>
      <c r="B9" s="738"/>
      <c r="C9" s="738" t="s">
        <v>4</v>
      </c>
      <c r="D9" s="738" t="s">
        <v>5</v>
      </c>
      <c r="E9" s="738" t="s">
        <v>3</v>
      </c>
      <c r="F9" s="755"/>
      <c r="G9" s="40" t="s">
        <v>80</v>
      </c>
      <c r="H9" s="40" t="s">
        <v>41</v>
      </c>
      <c r="I9" s="748"/>
      <c r="J9" s="748"/>
      <c r="K9" s="763"/>
      <c r="L9" s="33">
        <v>0</v>
      </c>
      <c r="M9" s="33">
        <v>1</v>
      </c>
      <c r="N9" s="33">
        <f t="shared" ref="N9:BS9" si="1">+M9+1</f>
        <v>2</v>
      </c>
      <c r="O9" s="33">
        <f t="shared" si="1"/>
        <v>3</v>
      </c>
      <c r="P9" s="33">
        <f t="shared" si="1"/>
        <v>4</v>
      </c>
      <c r="Q9" s="33">
        <f t="shared" si="1"/>
        <v>5</v>
      </c>
      <c r="R9" s="33">
        <f t="shared" si="1"/>
        <v>6</v>
      </c>
      <c r="S9" s="33">
        <f t="shared" si="1"/>
        <v>7</v>
      </c>
      <c r="T9" s="33">
        <f t="shared" si="1"/>
        <v>8</v>
      </c>
      <c r="U9" s="33">
        <f t="shared" si="1"/>
        <v>9</v>
      </c>
      <c r="V9" s="33">
        <f t="shared" si="1"/>
        <v>10</v>
      </c>
      <c r="W9" s="33">
        <f t="shared" si="1"/>
        <v>11</v>
      </c>
      <c r="X9" s="33">
        <f t="shared" si="1"/>
        <v>12</v>
      </c>
      <c r="Y9" s="33">
        <f t="shared" si="1"/>
        <v>13</v>
      </c>
      <c r="Z9" s="33">
        <f t="shared" si="1"/>
        <v>14</v>
      </c>
      <c r="AA9" s="33">
        <f t="shared" si="1"/>
        <v>15</v>
      </c>
      <c r="AB9" s="33">
        <f t="shared" si="1"/>
        <v>16</v>
      </c>
      <c r="AC9" s="33">
        <f t="shared" si="1"/>
        <v>17</v>
      </c>
      <c r="AD9" s="33">
        <f t="shared" si="1"/>
        <v>18</v>
      </c>
      <c r="AE9" s="33">
        <f t="shared" si="1"/>
        <v>19</v>
      </c>
      <c r="AF9" s="33">
        <f t="shared" si="1"/>
        <v>20</v>
      </c>
      <c r="AG9" s="33">
        <f t="shared" si="1"/>
        <v>21</v>
      </c>
      <c r="AH9" s="33">
        <f t="shared" si="1"/>
        <v>22</v>
      </c>
      <c r="AI9" s="33">
        <f t="shared" si="1"/>
        <v>23</v>
      </c>
      <c r="AJ9" s="33">
        <f t="shared" si="1"/>
        <v>24</v>
      </c>
      <c r="AK9" s="33">
        <f t="shared" si="1"/>
        <v>25</v>
      </c>
      <c r="AL9" s="33">
        <f t="shared" si="1"/>
        <v>26</v>
      </c>
      <c r="AM9" s="33">
        <f t="shared" si="1"/>
        <v>27</v>
      </c>
      <c r="AN9" s="33">
        <f t="shared" si="1"/>
        <v>28</v>
      </c>
      <c r="AO9" s="33">
        <f t="shared" si="1"/>
        <v>29</v>
      </c>
      <c r="AP9" s="33">
        <f t="shared" si="1"/>
        <v>30</v>
      </c>
      <c r="AQ9" s="33">
        <f t="shared" si="1"/>
        <v>31</v>
      </c>
      <c r="AR9" s="33">
        <f t="shared" si="1"/>
        <v>32</v>
      </c>
      <c r="AS9" s="33">
        <f t="shared" si="1"/>
        <v>33</v>
      </c>
      <c r="AT9" s="33">
        <f t="shared" si="1"/>
        <v>34</v>
      </c>
      <c r="AU9" s="33">
        <f t="shared" si="1"/>
        <v>35</v>
      </c>
      <c r="AV9" s="33">
        <f t="shared" si="1"/>
        <v>36</v>
      </c>
      <c r="AW9" s="33">
        <f t="shared" si="1"/>
        <v>37</v>
      </c>
      <c r="AX9" s="33">
        <f t="shared" si="1"/>
        <v>38</v>
      </c>
      <c r="AY9" s="33">
        <f t="shared" si="1"/>
        <v>39</v>
      </c>
      <c r="AZ9" s="33">
        <f t="shared" si="1"/>
        <v>40</v>
      </c>
      <c r="BA9" s="33">
        <f t="shared" si="1"/>
        <v>41</v>
      </c>
      <c r="BB9" s="33">
        <f t="shared" si="1"/>
        <v>42</v>
      </c>
      <c r="BC9" s="33">
        <f t="shared" si="1"/>
        <v>43</v>
      </c>
      <c r="BD9" s="33">
        <f t="shared" si="1"/>
        <v>44</v>
      </c>
      <c r="BE9" s="33">
        <f t="shared" si="1"/>
        <v>45</v>
      </c>
      <c r="BF9" s="33">
        <f t="shared" si="1"/>
        <v>46</v>
      </c>
      <c r="BG9" s="33">
        <f t="shared" si="1"/>
        <v>47</v>
      </c>
      <c r="BH9" s="33">
        <f t="shared" si="1"/>
        <v>48</v>
      </c>
      <c r="BI9" s="33">
        <f t="shared" si="1"/>
        <v>49</v>
      </c>
      <c r="BJ9" s="33">
        <f t="shared" si="1"/>
        <v>50</v>
      </c>
      <c r="BK9" s="33">
        <f t="shared" si="1"/>
        <v>51</v>
      </c>
      <c r="BL9" s="33">
        <f t="shared" si="1"/>
        <v>52</v>
      </c>
      <c r="BM9" s="33">
        <f t="shared" si="1"/>
        <v>53</v>
      </c>
      <c r="BN9" s="33">
        <f t="shared" si="1"/>
        <v>54</v>
      </c>
      <c r="BO9" s="33">
        <f t="shared" si="1"/>
        <v>55</v>
      </c>
      <c r="BP9" s="33">
        <f t="shared" si="1"/>
        <v>56</v>
      </c>
      <c r="BQ9" s="33">
        <f t="shared" si="1"/>
        <v>57</v>
      </c>
      <c r="BR9" s="33">
        <f t="shared" si="1"/>
        <v>58</v>
      </c>
      <c r="BS9" s="33">
        <f t="shared" si="1"/>
        <v>59</v>
      </c>
      <c r="BT9" s="34"/>
    </row>
    <row r="10" spans="1:73" ht="18" customHeight="1" thickBot="1">
      <c r="A10" s="752"/>
      <c r="B10" s="739"/>
      <c r="C10" s="739"/>
      <c r="D10" s="739"/>
      <c r="E10" s="739"/>
      <c r="F10" s="25" t="str">
        <f>CONCATENATE("(",$B$4,")")</f>
        <v>(2026 $s)</v>
      </c>
      <c r="G10" s="25" t="str">
        <f>CONCATENATE("(",$B$4,")")</f>
        <v>(2026 $s)</v>
      </c>
      <c r="H10" s="25" t="str">
        <f>CONCATENATE("(",$B$4,")")</f>
        <v>(2026 $s)</v>
      </c>
      <c r="I10" s="749"/>
      <c r="J10" s="749"/>
      <c r="K10" s="156" t="str">
        <f>CONCATENATE("(",B4,")")</f>
        <v>(2026 $s)</v>
      </c>
      <c r="L10" s="5">
        <f>Assumptions!B3</f>
        <v>2026</v>
      </c>
      <c r="M10" s="5">
        <f t="shared" ref="M10:BS10" si="2">L10+1</f>
        <v>2027</v>
      </c>
      <c r="N10" s="5">
        <f t="shared" si="2"/>
        <v>2028</v>
      </c>
      <c r="O10" s="5">
        <f t="shared" si="2"/>
        <v>2029</v>
      </c>
      <c r="P10" s="5">
        <f t="shared" si="2"/>
        <v>2030</v>
      </c>
      <c r="Q10" s="5">
        <f t="shared" si="2"/>
        <v>2031</v>
      </c>
      <c r="R10" s="5">
        <f t="shared" si="2"/>
        <v>2032</v>
      </c>
      <c r="S10" s="5">
        <f t="shared" si="2"/>
        <v>2033</v>
      </c>
      <c r="T10" s="5">
        <f t="shared" si="2"/>
        <v>2034</v>
      </c>
      <c r="U10" s="5">
        <f t="shared" si="2"/>
        <v>2035</v>
      </c>
      <c r="V10" s="5">
        <f t="shared" si="2"/>
        <v>2036</v>
      </c>
      <c r="W10" s="5">
        <f t="shared" si="2"/>
        <v>2037</v>
      </c>
      <c r="X10" s="5">
        <f t="shared" si="2"/>
        <v>2038</v>
      </c>
      <c r="Y10" s="5">
        <f t="shared" si="2"/>
        <v>2039</v>
      </c>
      <c r="Z10" s="5">
        <f t="shared" si="2"/>
        <v>2040</v>
      </c>
      <c r="AA10" s="5">
        <f t="shared" si="2"/>
        <v>2041</v>
      </c>
      <c r="AB10" s="5">
        <f t="shared" si="2"/>
        <v>2042</v>
      </c>
      <c r="AC10" s="5">
        <f t="shared" si="2"/>
        <v>2043</v>
      </c>
      <c r="AD10" s="5">
        <f t="shared" si="2"/>
        <v>2044</v>
      </c>
      <c r="AE10" s="5">
        <f t="shared" si="2"/>
        <v>2045</v>
      </c>
      <c r="AF10" s="5">
        <f t="shared" si="2"/>
        <v>2046</v>
      </c>
      <c r="AG10" s="5">
        <f t="shared" si="2"/>
        <v>2047</v>
      </c>
      <c r="AH10" s="5">
        <f t="shared" si="2"/>
        <v>2048</v>
      </c>
      <c r="AI10" s="5">
        <f t="shared" si="2"/>
        <v>2049</v>
      </c>
      <c r="AJ10" s="5">
        <f t="shared" si="2"/>
        <v>2050</v>
      </c>
      <c r="AK10" s="5">
        <f t="shared" si="2"/>
        <v>2051</v>
      </c>
      <c r="AL10" s="5">
        <f t="shared" si="2"/>
        <v>2052</v>
      </c>
      <c r="AM10" s="5">
        <f t="shared" si="2"/>
        <v>2053</v>
      </c>
      <c r="AN10" s="5">
        <f t="shared" si="2"/>
        <v>2054</v>
      </c>
      <c r="AO10" s="5">
        <f t="shared" si="2"/>
        <v>2055</v>
      </c>
      <c r="AP10" s="5">
        <f t="shared" si="2"/>
        <v>2056</v>
      </c>
      <c r="AQ10" s="5">
        <f t="shared" si="2"/>
        <v>2057</v>
      </c>
      <c r="AR10" s="5">
        <f t="shared" si="2"/>
        <v>2058</v>
      </c>
      <c r="AS10" s="5">
        <f t="shared" si="2"/>
        <v>2059</v>
      </c>
      <c r="AT10" s="5">
        <f t="shared" si="2"/>
        <v>2060</v>
      </c>
      <c r="AU10" s="5">
        <f t="shared" si="2"/>
        <v>2061</v>
      </c>
      <c r="AV10" s="5">
        <f t="shared" si="2"/>
        <v>2062</v>
      </c>
      <c r="AW10" s="5">
        <f t="shared" si="2"/>
        <v>2063</v>
      </c>
      <c r="AX10" s="5">
        <f t="shared" si="2"/>
        <v>2064</v>
      </c>
      <c r="AY10" s="5">
        <f t="shared" si="2"/>
        <v>2065</v>
      </c>
      <c r="AZ10" s="5">
        <f t="shared" si="2"/>
        <v>2066</v>
      </c>
      <c r="BA10" s="5">
        <f t="shared" si="2"/>
        <v>2067</v>
      </c>
      <c r="BB10" s="5">
        <f t="shared" si="2"/>
        <v>2068</v>
      </c>
      <c r="BC10" s="5">
        <f t="shared" si="2"/>
        <v>2069</v>
      </c>
      <c r="BD10" s="5">
        <f t="shared" si="2"/>
        <v>2070</v>
      </c>
      <c r="BE10" s="5">
        <f t="shared" si="2"/>
        <v>2071</v>
      </c>
      <c r="BF10" s="5">
        <f t="shared" si="2"/>
        <v>2072</v>
      </c>
      <c r="BG10" s="5">
        <f t="shared" si="2"/>
        <v>2073</v>
      </c>
      <c r="BH10" s="5">
        <f t="shared" si="2"/>
        <v>2074</v>
      </c>
      <c r="BI10" s="5">
        <f t="shared" si="2"/>
        <v>2075</v>
      </c>
      <c r="BJ10" s="5">
        <f t="shared" si="2"/>
        <v>2076</v>
      </c>
      <c r="BK10" s="5">
        <f t="shared" si="2"/>
        <v>2077</v>
      </c>
      <c r="BL10" s="5">
        <f t="shared" si="2"/>
        <v>2078</v>
      </c>
      <c r="BM10" s="5">
        <f t="shared" si="2"/>
        <v>2079</v>
      </c>
      <c r="BN10" s="5">
        <f t="shared" si="2"/>
        <v>2080</v>
      </c>
      <c r="BO10" s="5">
        <f t="shared" si="2"/>
        <v>2081</v>
      </c>
      <c r="BP10" s="5">
        <f t="shared" si="2"/>
        <v>2082</v>
      </c>
      <c r="BQ10" s="5">
        <f t="shared" si="2"/>
        <v>2083</v>
      </c>
      <c r="BR10" s="5">
        <f t="shared" si="2"/>
        <v>2084</v>
      </c>
      <c r="BS10" s="5">
        <f t="shared" si="2"/>
        <v>2085</v>
      </c>
      <c r="BT10" s="35" t="s">
        <v>6</v>
      </c>
    </row>
    <row r="11" spans="1:73" ht="16.95" customHeight="1">
      <c r="A11" s="157" t="s">
        <v>13</v>
      </c>
      <c r="B11" s="9" t="s">
        <v>12</v>
      </c>
      <c r="C11" s="9" t="s">
        <v>81</v>
      </c>
      <c r="D11" s="9" t="s">
        <v>82</v>
      </c>
      <c r="E11" s="9" t="s">
        <v>15</v>
      </c>
      <c r="F11" s="9" t="s">
        <v>14</v>
      </c>
      <c r="G11" s="9" t="s">
        <v>16</v>
      </c>
      <c r="H11" s="9" t="s">
        <v>17</v>
      </c>
      <c r="I11" s="9" t="s">
        <v>18</v>
      </c>
      <c r="J11" s="9" t="s">
        <v>19</v>
      </c>
      <c r="K11" s="158" t="s">
        <v>83</v>
      </c>
      <c r="L11" s="43"/>
      <c r="M11" s="43"/>
      <c r="N11" s="37" t="str">
        <f t="shared" ref="N11" si="3">IF(AND(N$10=$C11,N$10=$D11),(($K11/$E11)*N$6),IF(AND(N$10&gt;=$C11,N$10&lt;=$D11),(($K11/$E11)*N$6),""))</f>
        <v/>
      </c>
      <c r="O11" s="43"/>
      <c r="P11" s="43"/>
      <c r="Q11" s="43"/>
      <c r="R11" s="43"/>
      <c r="S11" s="43"/>
      <c r="T11" s="43"/>
      <c r="U11" s="43"/>
      <c r="V11" s="43"/>
      <c r="W11" s="43"/>
      <c r="X11" s="43"/>
      <c r="Y11" s="43"/>
      <c r="Z11" s="43"/>
      <c r="AA11" s="43"/>
      <c r="AB11" s="43"/>
      <c r="AC11" s="43"/>
      <c r="AD11" s="43"/>
      <c r="AE11" s="44"/>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36"/>
    </row>
    <row r="12" spans="1:73" ht="16.95" customHeight="1">
      <c r="A12" s="596" t="s">
        <v>155</v>
      </c>
      <c r="B12" s="597" t="str">
        <f>INDEX('W-Supply'!$C$6:$C$8,MATCH(Table1957810111213142361727281516171872627[[#This Row],[a]],'W-Supply'!$B$6:$B$8,0))</f>
        <v>Sub-Regional Raw Water Pipeline - Phase 1</v>
      </c>
      <c r="C12" s="598">
        <f>INDEX('W-Supply'!$F$6:$F$8,MATCH(Table1957810111213142361727281516171872627[[#This Row],[a]],'W-Supply'!$B$6:$B$8,0))</f>
        <v>2026</v>
      </c>
      <c r="D12" s="106">
        <f>INDEX('W-Supply'!$G$6:$G$8,MATCH(Table1957810111213142361727281516171872627[[#This Row],[a]],'W-Supply'!$B$6:$B$8,0))</f>
        <v>2026</v>
      </c>
      <c r="E12" s="107">
        <f t="shared" ref="E12" si="4">(D12-C12)+1</f>
        <v>1</v>
      </c>
      <c r="F12" s="546">
        <f>INDEX('W-Supply'!$O$6:$O$8,MATCH(Table1957810111213142361727281516171872627[[#This Row],[a]],'W-Supply'!$B$6:$B$8,0))+INDEX('W-Supply'!$L$6:$L$8,MATCH(Table1957810111213142361727281516171872627[[#This Row],[a]],'W-Supply'!$B$6:$B$8,0))</f>
        <v>49357783.408365503</v>
      </c>
      <c r="G12" s="546">
        <f>INDEX('W-Supply'!$L$6:$L$8,MATCH(Table1957810111213142361727281516171872627[[#This Row],[a]],'W-Supply'!$B$6:$B$8,0))</f>
        <v>30189414</v>
      </c>
      <c r="H12" s="87">
        <f>+Table1957810111213142361727281516171872627[[#This Row],[f]]-Table1957810111213142361727281516171872627[[#This Row],[g]]</f>
        <v>19168369.408365503</v>
      </c>
      <c r="I12" s="92">
        <f>INDEX('W-Supply'!$H$6:$H$8,MATCH(Table1957810111213142361727281516171872627[[#This Row],[a]],'W-Supply'!$B$6:$B$8,0))</f>
        <v>1</v>
      </c>
      <c r="J12" s="85">
        <f>1-Table1957810111213142361727281516171872627[[#This Row],[i]]</f>
        <v>0</v>
      </c>
      <c r="K12" s="548">
        <f>(Table1957810111213142361727281516171872627[[#This Row],[h]]*Table1957810111213142361727281516171872627[[#This Row],[i]])</f>
        <v>19168369.408365503</v>
      </c>
      <c r="L12" s="547">
        <f>Table1957810111213142361727281516171872627[[#This Row],[k]]</f>
        <v>19168369.408365503</v>
      </c>
      <c r="M12" s="37" t="str">
        <f>IF(AND(M$10=$C12,M$10=$D12),(($K12/$E12)*M$6),IF(AND(M$10&gt;=$C12,M$10&lt;=$D12),(($K12/$E12)*M$6),""))</f>
        <v/>
      </c>
      <c r="N12" s="37" t="str">
        <f>IF(AND(N$10=$C12,N$10=$D12),(($K12/$E12)*N$6),IF(AND(N$10&gt;=$C12,N$10&lt;=$D12),(($K12/$E12)*N$6),""))</f>
        <v/>
      </c>
      <c r="O12" s="37" t="str">
        <f t="shared" ref="L12:AA13" si="5">IF(AND(O$10=$C12,O$10=$D12),(($K12/$E12)*O$6),IF(AND(O$10&gt;=$C12,O$10&lt;=$D12),(($K12/$E12)*O$6),""))</f>
        <v/>
      </c>
      <c r="P12" s="37" t="str">
        <f t="shared" si="5"/>
        <v/>
      </c>
      <c r="Q12" s="37" t="str">
        <f t="shared" si="5"/>
        <v/>
      </c>
      <c r="R12" s="37" t="str">
        <f t="shared" si="5"/>
        <v/>
      </c>
      <c r="S12" s="37" t="str">
        <f t="shared" si="5"/>
        <v/>
      </c>
      <c r="T12" s="37" t="str">
        <f t="shared" si="5"/>
        <v/>
      </c>
      <c r="U12" s="37" t="str">
        <f t="shared" si="5"/>
        <v/>
      </c>
      <c r="V12" s="37" t="str">
        <f t="shared" si="5"/>
        <v/>
      </c>
      <c r="W12" s="37" t="str">
        <f t="shared" si="5"/>
        <v/>
      </c>
      <c r="X12" s="37" t="str">
        <f t="shared" si="5"/>
        <v/>
      </c>
      <c r="Y12" s="37" t="str">
        <f t="shared" si="5"/>
        <v/>
      </c>
      <c r="Z12" s="37" t="str">
        <f t="shared" si="5"/>
        <v/>
      </c>
      <c r="AA12" s="37" t="str">
        <f t="shared" si="5"/>
        <v/>
      </c>
      <c r="AB12" s="37" t="str">
        <f t="shared" ref="AB12:AQ13" si="6">IF(AND(AB$10=$C12,AB$10=$D12),(($K12/$E12)*AB$6),IF(AND(AB$10&gt;=$C12,AB$10&lt;=$D12),(($K12/$E12)*AB$6),""))</f>
        <v/>
      </c>
      <c r="AC12" s="37" t="str">
        <f t="shared" si="6"/>
        <v/>
      </c>
      <c r="AD12" s="37" t="str">
        <f t="shared" si="6"/>
        <v/>
      </c>
      <c r="AE12" s="37" t="str">
        <f t="shared" si="6"/>
        <v/>
      </c>
      <c r="AF12" s="37" t="str">
        <f t="shared" si="6"/>
        <v/>
      </c>
      <c r="AG12" s="37" t="str">
        <f t="shared" si="6"/>
        <v/>
      </c>
      <c r="AH12" s="37" t="str">
        <f t="shared" si="6"/>
        <v/>
      </c>
      <c r="AI12" s="37" t="str">
        <f t="shared" si="6"/>
        <v/>
      </c>
      <c r="AJ12" s="37" t="str">
        <f t="shared" si="6"/>
        <v/>
      </c>
      <c r="AK12" s="37" t="str">
        <f t="shared" si="6"/>
        <v/>
      </c>
      <c r="AL12" s="37" t="str">
        <f t="shared" si="6"/>
        <v/>
      </c>
      <c r="AM12" s="37" t="str">
        <f t="shared" si="6"/>
        <v/>
      </c>
      <c r="AN12" s="37" t="str">
        <f t="shared" si="6"/>
        <v/>
      </c>
      <c r="AO12" s="37" t="str">
        <f t="shared" si="6"/>
        <v/>
      </c>
      <c r="AP12" s="37" t="str">
        <f t="shared" si="6"/>
        <v/>
      </c>
      <c r="AQ12" s="37" t="str">
        <f t="shared" si="6"/>
        <v/>
      </c>
      <c r="AR12" s="37" t="str">
        <f t="shared" ref="AR12:BG13" si="7">IF(AND(AR$10=$C12,AR$10=$D12),(($K12/$E12)*AR$6),IF(AND(AR$10&gt;=$C12,AR$10&lt;=$D12),(($K12/$E12)*AR$6),""))</f>
        <v/>
      </c>
      <c r="AS12" s="37" t="str">
        <f t="shared" si="7"/>
        <v/>
      </c>
      <c r="AT12" s="37" t="str">
        <f t="shared" si="7"/>
        <v/>
      </c>
      <c r="AU12" s="37" t="str">
        <f t="shared" si="7"/>
        <v/>
      </c>
      <c r="AV12" s="37" t="str">
        <f t="shared" si="7"/>
        <v/>
      </c>
      <c r="AW12" s="37" t="str">
        <f t="shared" si="7"/>
        <v/>
      </c>
      <c r="AX12" s="37" t="str">
        <f t="shared" si="7"/>
        <v/>
      </c>
      <c r="AY12" s="37" t="str">
        <f t="shared" si="7"/>
        <v/>
      </c>
      <c r="AZ12" s="37" t="str">
        <f t="shared" si="7"/>
        <v/>
      </c>
      <c r="BA12" s="37" t="str">
        <f t="shared" si="7"/>
        <v/>
      </c>
      <c r="BB12" s="37" t="str">
        <f t="shared" si="7"/>
        <v/>
      </c>
      <c r="BC12" s="37" t="str">
        <f t="shared" si="7"/>
        <v/>
      </c>
      <c r="BD12" s="37" t="str">
        <f t="shared" si="7"/>
        <v/>
      </c>
      <c r="BE12" s="37" t="str">
        <f t="shared" si="7"/>
        <v/>
      </c>
      <c r="BF12" s="37" t="str">
        <f t="shared" si="7"/>
        <v/>
      </c>
      <c r="BG12" s="37" t="str">
        <f t="shared" si="7"/>
        <v/>
      </c>
      <c r="BH12" s="37" t="str">
        <f t="shared" ref="BH12:BS13" si="8">IF(AND(BH$10=$C12,BH$10=$D12),(($K12/$E12)*BH$6),IF(AND(BH$10&gt;=$C12,BH$10&lt;=$D12),(($K12/$E12)*BH$6),""))</f>
        <v/>
      </c>
      <c r="BI12" s="37" t="str">
        <f t="shared" si="8"/>
        <v/>
      </c>
      <c r="BJ12" s="37" t="str">
        <f t="shared" si="8"/>
        <v/>
      </c>
      <c r="BK12" s="37" t="str">
        <f t="shared" si="8"/>
        <v/>
      </c>
      <c r="BL12" s="37" t="str">
        <f t="shared" si="8"/>
        <v/>
      </c>
      <c r="BM12" s="37" t="str">
        <f t="shared" si="8"/>
        <v/>
      </c>
      <c r="BN12" s="37" t="str">
        <f t="shared" si="8"/>
        <v/>
      </c>
      <c r="BO12" s="37" t="str">
        <f t="shared" si="8"/>
        <v/>
      </c>
      <c r="BP12" s="37" t="str">
        <f t="shared" si="8"/>
        <v/>
      </c>
      <c r="BQ12" s="37" t="str">
        <f t="shared" si="8"/>
        <v/>
      </c>
      <c r="BR12" s="37" t="str">
        <f t="shared" si="8"/>
        <v/>
      </c>
      <c r="BS12" s="37" t="str">
        <f t="shared" si="8"/>
        <v/>
      </c>
      <c r="BT12" s="38">
        <f>SUM(L12:BS12)</f>
        <v>19168369.408365503</v>
      </c>
    </row>
    <row r="13" spans="1:73" ht="16.95" customHeight="1" thickBot="1">
      <c r="A13" s="599" t="s">
        <v>156</v>
      </c>
      <c r="B13" s="600" t="str">
        <f>INDEX('W-Supply'!$C$6:$C$8,MATCH(Table1957810111213142361727281516171872627[[#This Row],[a]],'W-Supply'!$B$6:$B$8,0))</f>
        <v>Sub-Regional Raw Water Pipeline - Phase 2</v>
      </c>
      <c r="C13" s="601">
        <f>INDEX('W-Supply'!$F$6:$F$8,MATCH(Table1957810111213142361727281516171872627[[#This Row],[a]],'W-Supply'!$B$6:$B$8,0))</f>
        <v>2033</v>
      </c>
      <c r="D13" s="141">
        <f>INDEX('W-Supply'!$G$6:$G$8,MATCH(Table1957810111213142361727281516171872627[[#This Row],[a]],'W-Supply'!$B$6:$B$8,0))</f>
        <v>2034</v>
      </c>
      <c r="E13" s="108">
        <f>(D13-C13)+1</f>
        <v>2</v>
      </c>
      <c r="F13" s="139">
        <f>INDEX('W-Supply'!$O$6:$O$8,MATCH(Table1957810111213142361727281516171872627[[#This Row],[a]],'W-Supply'!$B$6:$B$8,0))+INDEX('W-Supply'!$L$6:$L$8,MATCH(Table1957810111213142361727281516171872627[[#This Row],[a]],'W-Supply'!$B$6:$B$8,0))</f>
        <v>12464150</v>
      </c>
      <c r="G13" s="140">
        <f>INDEX('W-Supply'!$L$6:$L$8,MATCH(Table1957810111213142361727281516171872627[[#This Row],[a]],'W-Supply'!$B$6:$B$8,0))</f>
        <v>0</v>
      </c>
      <c r="H13" s="113">
        <f>+Table1957810111213142361727281516171872627[[#This Row],[f]]-Table1957810111213142361727281516171872627[[#This Row],[g]]</f>
        <v>12464150</v>
      </c>
      <c r="I13" s="114">
        <f>INDEX('W-Supply'!$H$6:$H$8,MATCH(Table1957810111213142361727281516171872627[[#This Row],[a]],'W-Supply'!$B$6:$B$8,0))</f>
        <v>1</v>
      </c>
      <c r="J13" s="115">
        <f>1-Table1957810111213142361727281516171872627[[#This Row],[i]]</f>
        <v>0</v>
      </c>
      <c r="K13" s="159">
        <f>(Table1957810111213142361727281516171872627[[#This Row],[h]]*Table1957810111213142361727281516171872627[[#This Row],[i]])</f>
        <v>12464150</v>
      </c>
      <c r="L13" s="37" t="str">
        <f t="shared" si="5"/>
        <v/>
      </c>
      <c r="M13" s="37" t="str">
        <f>IF(AND(M$10=$C13,M$10=$D13),(($K13/$E13)*M$6),IF(AND(M$10&gt;=$C13,M$10&lt;=$D13),(($K13/$E13)*M$6),""))</f>
        <v/>
      </c>
      <c r="N13" s="37" t="str">
        <f>IF(AND(N$10=$C13,N$10=$D13),(($K13/$E13)*N$6),IF(AND(N$10&gt;=$C13,N$10&lt;=$D13),(($K13/$E13)*N$6),""))</f>
        <v/>
      </c>
      <c r="O13" s="37" t="str">
        <f t="shared" si="5"/>
        <v/>
      </c>
      <c r="P13" s="37" t="str">
        <f t="shared" si="5"/>
        <v/>
      </c>
      <c r="Q13" s="37" t="str">
        <f t="shared" si="5"/>
        <v/>
      </c>
      <c r="R13" s="37" t="str">
        <f t="shared" si="5"/>
        <v/>
      </c>
      <c r="S13" s="37">
        <f t="shared" si="5"/>
        <v>7407978.7682918236</v>
      </c>
      <c r="T13" s="37">
        <f t="shared" si="5"/>
        <v>7593178.2374991188</v>
      </c>
      <c r="U13" s="37" t="str">
        <f t="shared" si="5"/>
        <v/>
      </c>
      <c r="V13" s="37" t="str">
        <f t="shared" si="5"/>
        <v/>
      </c>
      <c r="W13" s="37" t="str">
        <f t="shared" si="5"/>
        <v/>
      </c>
      <c r="X13" s="37" t="str">
        <f t="shared" si="5"/>
        <v/>
      </c>
      <c r="Y13" s="37" t="str">
        <f t="shared" si="5"/>
        <v/>
      </c>
      <c r="Z13" s="37" t="str">
        <f t="shared" si="5"/>
        <v/>
      </c>
      <c r="AA13" s="37" t="str">
        <f t="shared" si="5"/>
        <v/>
      </c>
      <c r="AB13" s="37" t="str">
        <f t="shared" si="6"/>
        <v/>
      </c>
      <c r="AC13" s="37" t="str">
        <f t="shared" si="6"/>
        <v/>
      </c>
      <c r="AD13" s="37" t="str">
        <f t="shared" si="6"/>
        <v/>
      </c>
      <c r="AE13" s="37" t="str">
        <f t="shared" si="6"/>
        <v/>
      </c>
      <c r="AF13" s="37" t="str">
        <f t="shared" si="6"/>
        <v/>
      </c>
      <c r="AG13" s="37" t="str">
        <f t="shared" si="6"/>
        <v/>
      </c>
      <c r="AH13" s="37" t="str">
        <f t="shared" si="6"/>
        <v/>
      </c>
      <c r="AI13" s="37" t="str">
        <f t="shared" si="6"/>
        <v/>
      </c>
      <c r="AJ13" s="37" t="str">
        <f t="shared" si="6"/>
        <v/>
      </c>
      <c r="AK13" s="37" t="str">
        <f t="shared" si="6"/>
        <v/>
      </c>
      <c r="AL13" s="37" t="str">
        <f t="shared" si="6"/>
        <v/>
      </c>
      <c r="AM13" s="37" t="str">
        <f t="shared" si="6"/>
        <v/>
      </c>
      <c r="AN13" s="37" t="str">
        <f t="shared" si="6"/>
        <v/>
      </c>
      <c r="AO13" s="37" t="str">
        <f t="shared" si="6"/>
        <v/>
      </c>
      <c r="AP13" s="37" t="str">
        <f t="shared" si="6"/>
        <v/>
      </c>
      <c r="AQ13" s="37" t="str">
        <f t="shared" si="6"/>
        <v/>
      </c>
      <c r="AR13" s="37" t="str">
        <f t="shared" si="7"/>
        <v/>
      </c>
      <c r="AS13" s="37" t="str">
        <f t="shared" si="7"/>
        <v/>
      </c>
      <c r="AT13" s="37" t="str">
        <f t="shared" si="7"/>
        <v/>
      </c>
      <c r="AU13" s="37" t="str">
        <f t="shared" si="7"/>
        <v/>
      </c>
      <c r="AV13" s="37" t="str">
        <f t="shared" si="7"/>
        <v/>
      </c>
      <c r="AW13" s="37" t="str">
        <f t="shared" si="7"/>
        <v/>
      </c>
      <c r="AX13" s="37" t="str">
        <f t="shared" si="7"/>
        <v/>
      </c>
      <c r="AY13" s="37" t="str">
        <f t="shared" si="7"/>
        <v/>
      </c>
      <c r="AZ13" s="37" t="str">
        <f t="shared" si="7"/>
        <v/>
      </c>
      <c r="BA13" s="37" t="str">
        <f t="shared" si="7"/>
        <v/>
      </c>
      <c r="BB13" s="37" t="str">
        <f t="shared" si="7"/>
        <v/>
      </c>
      <c r="BC13" s="37" t="str">
        <f t="shared" si="7"/>
        <v/>
      </c>
      <c r="BD13" s="37" t="str">
        <f t="shared" si="7"/>
        <v/>
      </c>
      <c r="BE13" s="37" t="str">
        <f t="shared" si="7"/>
        <v/>
      </c>
      <c r="BF13" s="37" t="str">
        <f t="shared" si="7"/>
        <v/>
      </c>
      <c r="BG13" s="37" t="str">
        <f t="shared" si="7"/>
        <v/>
      </c>
      <c r="BH13" s="37" t="str">
        <f t="shared" si="8"/>
        <v/>
      </c>
      <c r="BI13" s="37" t="str">
        <f t="shared" si="8"/>
        <v/>
      </c>
      <c r="BJ13" s="37" t="str">
        <f t="shared" si="8"/>
        <v/>
      </c>
      <c r="BK13" s="37" t="str">
        <f t="shared" si="8"/>
        <v/>
      </c>
      <c r="BL13" s="37" t="str">
        <f t="shared" si="8"/>
        <v/>
      </c>
      <c r="BM13" s="37" t="str">
        <f t="shared" si="8"/>
        <v/>
      </c>
      <c r="BN13" s="37" t="str">
        <f t="shared" si="8"/>
        <v/>
      </c>
      <c r="BO13" s="37" t="str">
        <f t="shared" si="8"/>
        <v/>
      </c>
      <c r="BP13" s="37" t="str">
        <f t="shared" si="8"/>
        <v/>
      </c>
      <c r="BQ13" s="37" t="str">
        <f t="shared" si="8"/>
        <v/>
      </c>
      <c r="BR13" s="37" t="str">
        <f t="shared" si="8"/>
        <v/>
      </c>
      <c r="BS13" s="37" t="str">
        <f t="shared" si="8"/>
        <v/>
      </c>
      <c r="BT13" s="38">
        <f>SUM(L13:BS13)</f>
        <v>15001157.005790941</v>
      </c>
    </row>
    <row r="14" spans="1:73" ht="15.6" thickTop="1" thickBot="1">
      <c r="A14" s="160"/>
      <c r="B14" s="6"/>
      <c r="C14" s="6"/>
      <c r="D14" s="6"/>
      <c r="E14" s="6"/>
      <c r="F14" s="12">
        <f>SUM(Table1957810111213142361727281516171872627[f])</f>
        <v>61821933.408365503</v>
      </c>
      <c r="G14" s="12"/>
      <c r="H14" s="12"/>
      <c r="I14" s="12"/>
      <c r="J14" s="12"/>
      <c r="K14" s="161">
        <f>SUM(Table1957810111213142361727281516171872627[k])</f>
        <v>31632519.408365503</v>
      </c>
      <c r="L14" s="7">
        <f>SUM(L11:L13)</f>
        <v>19168369.408365503</v>
      </c>
      <c r="M14" s="7">
        <f t="shared" ref="M14:BT14" si="9">SUM(M11:M13)</f>
        <v>0</v>
      </c>
      <c r="N14" s="7">
        <f t="shared" si="9"/>
        <v>0</v>
      </c>
      <c r="O14" s="7">
        <f t="shared" si="9"/>
        <v>0</v>
      </c>
      <c r="P14" s="7">
        <f t="shared" si="9"/>
        <v>0</v>
      </c>
      <c r="Q14" s="7">
        <f t="shared" si="9"/>
        <v>0</v>
      </c>
      <c r="R14" s="7">
        <f t="shared" si="9"/>
        <v>0</v>
      </c>
      <c r="S14" s="7">
        <f t="shared" si="9"/>
        <v>7407978.7682918236</v>
      </c>
      <c r="T14" s="7">
        <f t="shared" si="9"/>
        <v>7593178.2374991188</v>
      </c>
      <c r="U14" s="7">
        <f t="shared" si="9"/>
        <v>0</v>
      </c>
      <c r="V14" s="7">
        <f t="shared" si="9"/>
        <v>0</v>
      </c>
      <c r="W14" s="7">
        <f t="shared" si="9"/>
        <v>0</v>
      </c>
      <c r="X14" s="7">
        <f t="shared" si="9"/>
        <v>0</v>
      </c>
      <c r="Y14" s="7">
        <f t="shared" si="9"/>
        <v>0</v>
      </c>
      <c r="Z14" s="7">
        <f t="shared" si="9"/>
        <v>0</v>
      </c>
      <c r="AA14" s="7">
        <f t="shared" si="9"/>
        <v>0</v>
      </c>
      <c r="AB14" s="7">
        <f t="shared" si="9"/>
        <v>0</v>
      </c>
      <c r="AC14" s="7">
        <f t="shared" si="9"/>
        <v>0</v>
      </c>
      <c r="AD14" s="7">
        <f t="shared" si="9"/>
        <v>0</v>
      </c>
      <c r="AE14" s="7">
        <f t="shared" si="9"/>
        <v>0</v>
      </c>
      <c r="AF14" s="7">
        <f t="shared" si="9"/>
        <v>0</v>
      </c>
      <c r="AG14" s="7">
        <f t="shared" si="9"/>
        <v>0</v>
      </c>
      <c r="AH14" s="7">
        <f t="shared" si="9"/>
        <v>0</v>
      </c>
      <c r="AI14" s="7">
        <f t="shared" si="9"/>
        <v>0</v>
      </c>
      <c r="AJ14" s="7">
        <f t="shared" si="9"/>
        <v>0</v>
      </c>
      <c r="AK14" s="7">
        <f t="shared" si="9"/>
        <v>0</v>
      </c>
      <c r="AL14" s="7">
        <f t="shared" si="9"/>
        <v>0</v>
      </c>
      <c r="AM14" s="7">
        <f t="shared" si="9"/>
        <v>0</v>
      </c>
      <c r="AN14" s="7">
        <f t="shared" si="9"/>
        <v>0</v>
      </c>
      <c r="AO14" s="7">
        <f t="shared" si="9"/>
        <v>0</v>
      </c>
      <c r="AP14" s="7">
        <f t="shared" si="9"/>
        <v>0</v>
      </c>
      <c r="AQ14" s="7">
        <f t="shared" si="9"/>
        <v>0</v>
      </c>
      <c r="AR14" s="7">
        <f t="shared" si="9"/>
        <v>0</v>
      </c>
      <c r="AS14" s="7">
        <f t="shared" si="9"/>
        <v>0</v>
      </c>
      <c r="AT14" s="7">
        <f t="shared" si="9"/>
        <v>0</v>
      </c>
      <c r="AU14" s="7">
        <f t="shared" si="9"/>
        <v>0</v>
      </c>
      <c r="AV14" s="7">
        <f t="shared" si="9"/>
        <v>0</v>
      </c>
      <c r="AW14" s="7">
        <f t="shared" si="9"/>
        <v>0</v>
      </c>
      <c r="AX14" s="7">
        <f t="shared" si="9"/>
        <v>0</v>
      </c>
      <c r="AY14" s="7">
        <f t="shared" si="9"/>
        <v>0</v>
      </c>
      <c r="AZ14" s="7">
        <f t="shared" si="9"/>
        <v>0</v>
      </c>
      <c r="BA14" s="7">
        <f t="shared" si="9"/>
        <v>0</v>
      </c>
      <c r="BB14" s="7">
        <f t="shared" si="9"/>
        <v>0</v>
      </c>
      <c r="BC14" s="7">
        <f t="shared" si="9"/>
        <v>0</v>
      </c>
      <c r="BD14" s="7">
        <f t="shared" si="9"/>
        <v>0</v>
      </c>
      <c r="BE14" s="7">
        <f t="shared" si="9"/>
        <v>0</v>
      </c>
      <c r="BF14" s="7">
        <f t="shared" si="9"/>
        <v>0</v>
      </c>
      <c r="BG14" s="7">
        <f t="shared" si="9"/>
        <v>0</v>
      </c>
      <c r="BH14" s="7">
        <f t="shared" si="9"/>
        <v>0</v>
      </c>
      <c r="BI14" s="7">
        <f t="shared" si="9"/>
        <v>0</v>
      </c>
      <c r="BJ14" s="7">
        <f t="shared" si="9"/>
        <v>0</v>
      </c>
      <c r="BK14" s="7">
        <f t="shared" si="9"/>
        <v>0</v>
      </c>
      <c r="BL14" s="7">
        <f t="shared" si="9"/>
        <v>0</v>
      </c>
      <c r="BM14" s="7">
        <f t="shared" si="9"/>
        <v>0</v>
      </c>
      <c r="BN14" s="7">
        <f t="shared" si="9"/>
        <v>0</v>
      </c>
      <c r="BO14" s="7">
        <f t="shared" si="9"/>
        <v>0</v>
      </c>
      <c r="BP14" s="7">
        <f t="shared" si="9"/>
        <v>0</v>
      </c>
      <c r="BQ14" s="7">
        <f t="shared" si="9"/>
        <v>0</v>
      </c>
      <c r="BR14" s="7">
        <f t="shared" si="9"/>
        <v>0</v>
      </c>
      <c r="BS14" s="7">
        <f t="shared" si="9"/>
        <v>0</v>
      </c>
      <c r="BT14" s="7">
        <f t="shared" si="9"/>
        <v>34169526.414156444</v>
      </c>
    </row>
    <row r="15" spans="1:73">
      <c r="G15"/>
    </row>
    <row r="16" spans="1:73">
      <c r="G16"/>
    </row>
    <row r="17" spans="1:16">
      <c r="G17"/>
    </row>
    <row r="18" spans="1:16">
      <c r="G18"/>
    </row>
    <row r="19" spans="1:16" ht="15" thickBot="1">
      <c r="G19"/>
      <c r="H19"/>
      <c r="I19"/>
    </row>
    <row r="20" spans="1:16" ht="18.75" customHeight="1">
      <c r="A20" s="93"/>
      <c r="B20" s="17">
        <v>1</v>
      </c>
      <c r="C20" s="18">
        <v>2</v>
      </c>
      <c r="D20" s="18">
        <v>3</v>
      </c>
      <c r="E20" s="18">
        <v>4</v>
      </c>
      <c r="F20" s="18">
        <v>5</v>
      </c>
      <c r="G20" s="18">
        <v>6</v>
      </c>
      <c r="H20" s="18"/>
      <c r="I20" s="18">
        <v>7</v>
      </c>
      <c r="J20" s="18">
        <v>8</v>
      </c>
      <c r="K20" s="18">
        <v>9</v>
      </c>
      <c r="L20" s="22">
        <v>10</v>
      </c>
      <c r="M20" s="23">
        <v>11</v>
      </c>
      <c r="N20" s="24">
        <v>12</v>
      </c>
    </row>
    <row r="21" spans="1:16" ht="56.25" customHeight="1">
      <c r="A21" s="94"/>
      <c r="B21" s="63" t="s">
        <v>39</v>
      </c>
      <c r="C21" s="47" t="s">
        <v>38</v>
      </c>
      <c r="D21" s="736" t="s">
        <v>285</v>
      </c>
      <c r="E21" s="736" t="s">
        <v>202</v>
      </c>
      <c r="F21" s="47" t="s">
        <v>179</v>
      </c>
      <c r="G21" s="153" t="s">
        <v>37</v>
      </c>
      <c r="H21" s="736" t="s">
        <v>175</v>
      </c>
      <c r="I21" s="169" t="s">
        <v>176</v>
      </c>
      <c r="J21" s="764" t="s">
        <v>36</v>
      </c>
      <c r="K21" s="736" t="s">
        <v>35</v>
      </c>
      <c r="L21" s="740" t="s">
        <v>204</v>
      </c>
      <c r="M21" s="741"/>
      <c r="N21" s="151" t="s">
        <v>34</v>
      </c>
    </row>
    <row r="22" spans="1:16" ht="56.25" customHeight="1">
      <c r="A22" s="94"/>
      <c r="B22" s="63"/>
      <c r="C22" s="47"/>
      <c r="D22" s="736"/>
      <c r="E22" s="736"/>
      <c r="F22" s="47"/>
      <c r="G22" s="20"/>
      <c r="H22" s="736"/>
      <c r="I22" s="200">
        <v>108126.3377156261</v>
      </c>
      <c r="J22" s="764"/>
      <c r="K22" s="736"/>
      <c r="L22" s="740"/>
      <c r="M22" s="741"/>
      <c r="N22" s="151"/>
    </row>
    <row r="23" spans="1:16">
      <c r="A23" s="93"/>
      <c r="B23" s="19"/>
      <c r="C23" s="47"/>
      <c r="D23" s="47"/>
      <c r="E23" s="152"/>
      <c r="F23" s="47"/>
      <c r="G23" s="20"/>
      <c r="H23" s="736"/>
      <c r="I23" s="20"/>
      <c r="J23" s="20"/>
      <c r="K23" s="736"/>
      <c r="L23" s="16"/>
      <c r="M23" s="15"/>
      <c r="N23" s="151"/>
    </row>
    <row r="24" spans="1:16">
      <c r="A24" s="93"/>
      <c r="B24" s="19"/>
      <c r="C24" s="47"/>
      <c r="D24" s="170" t="s">
        <v>7</v>
      </c>
      <c r="E24" s="47" t="s">
        <v>8</v>
      </c>
      <c r="F24" s="47" t="s">
        <v>8</v>
      </c>
      <c r="G24" s="20"/>
      <c r="H24" s="736"/>
      <c r="I24" s="75"/>
      <c r="J24" s="198" t="s">
        <v>7</v>
      </c>
      <c r="K24" s="20"/>
      <c r="L24" s="46" t="s">
        <v>7</v>
      </c>
      <c r="M24" s="76" t="s">
        <v>8</v>
      </c>
      <c r="N24" s="151"/>
    </row>
    <row r="25" spans="1:16">
      <c r="A25" s="95"/>
      <c r="B25" s="77"/>
      <c r="C25" s="47"/>
      <c r="D25" s="47"/>
      <c r="E25" s="610"/>
      <c r="F25" s="47"/>
      <c r="G25" s="20"/>
      <c r="H25" s="20"/>
      <c r="I25" s="78" t="s">
        <v>11</v>
      </c>
      <c r="J25" s="20"/>
      <c r="K25" s="20"/>
      <c r="L25" s="565">
        <f>Assumptions!$B$6</f>
        <v>2.6740000000000003E-2</v>
      </c>
      <c r="M25" s="79">
        <f>+Assumptions!$B$7</f>
        <v>4.496E-2</v>
      </c>
      <c r="N25" s="151"/>
    </row>
    <row r="26" spans="1:16" ht="15" thickBot="1">
      <c r="A26" s="95"/>
      <c r="B26" s="182"/>
      <c r="C26" s="184"/>
      <c r="D26" s="184"/>
      <c r="E26" s="184"/>
      <c r="F26" s="185"/>
      <c r="G26" s="184"/>
      <c r="H26" s="184"/>
      <c r="I26" s="184">
        <f>L10</f>
        <v>2026</v>
      </c>
      <c r="J26" s="186" t="s">
        <v>199</v>
      </c>
      <c r="K26" s="186" t="s">
        <v>200</v>
      </c>
      <c r="L26" s="187"/>
      <c r="M26" s="188"/>
      <c r="N26" s="189" t="s">
        <v>201</v>
      </c>
      <c r="P26" s="131"/>
    </row>
    <row r="27" spans="1:16" ht="15" hidden="1" thickBot="1">
      <c r="B27" s="181"/>
      <c r="C27" s="190"/>
      <c r="D27" s="190"/>
      <c r="E27" s="190"/>
      <c r="F27" s="190"/>
      <c r="G27" s="191"/>
      <c r="H27" s="191"/>
      <c r="I27" s="190"/>
      <c r="J27" s="190"/>
      <c r="K27" s="190"/>
      <c r="L27" s="190"/>
      <c r="M27" s="190"/>
      <c r="N27" s="192"/>
    </row>
    <row r="28" spans="1:16" ht="15" hidden="1" thickBot="1">
      <c r="A28" s="131"/>
      <c r="B28" s="154">
        <v>2023</v>
      </c>
      <c r="C28" s="80"/>
      <c r="D28" s="80"/>
      <c r="E28" s="80"/>
      <c r="F28" s="80"/>
      <c r="G28" s="80"/>
      <c r="H28" s="80"/>
      <c r="I28" s="80"/>
      <c r="J28" s="80"/>
      <c r="K28" s="80"/>
      <c r="L28" s="80"/>
      <c r="M28" s="80"/>
      <c r="N28" s="199"/>
    </row>
    <row r="29" spans="1:16" ht="15" hidden="1" thickBot="1">
      <c r="A29" s="131"/>
      <c r="B29" s="154">
        <f t="shared" ref="B29:B65" si="10">+B28+1</f>
        <v>2024</v>
      </c>
      <c r="C29" s="80"/>
      <c r="D29" s="80"/>
      <c r="E29" s="80"/>
      <c r="F29" s="80"/>
      <c r="G29" s="80"/>
      <c r="H29" s="80"/>
      <c r="I29" s="80"/>
      <c r="J29" s="80"/>
      <c r="K29" s="80"/>
      <c r="L29" s="80"/>
      <c r="M29" s="80"/>
      <c r="N29" s="199"/>
      <c r="P29" s="13"/>
    </row>
    <row r="30" spans="1:16" ht="15" hidden="1" thickBot="1">
      <c r="A30" s="131"/>
      <c r="B30" s="220">
        <f t="shared" si="10"/>
        <v>2025</v>
      </c>
      <c r="C30" s="130"/>
      <c r="D30" s="130"/>
      <c r="E30" s="130"/>
      <c r="F30" s="130"/>
      <c r="G30" s="130"/>
      <c r="H30" s="130"/>
      <c r="I30" s="130"/>
      <c r="J30" s="130"/>
      <c r="K30" s="130"/>
      <c r="L30" s="130"/>
      <c r="M30" s="130"/>
      <c r="N30" s="221"/>
      <c r="P30" s="42"/>
    </row>
    <row r="31" spans="1:16" ht="16.2">
      <c r="A31" s="131"/>
      <c r="B31" s="205">
        <f t="shared" si="10"/>
        <v>2026</v>
      </c>
      <c r="C31" s="227">
        <f>Assumptions!B32</f>
        <v>-25813740.655599531</v>
      </c>
      <c r="D31" s="222">
        <f>SUMIF('Regional Water Debenture'!$D$10:$D$39,B30,'Regional Water Debenture'!$G$10:$G$39)</f>
        <v>29073490.469999999</v>
      </c>
      <c r="E31" s="216">
        <f>SUMIF('Regional Water Debenture'!$D$10:$D$39,B31,'Regional Water Debenture'!$E$10:$E$39)</f>
        <v>1866883.54</v>
      </c>
      <c r="F31" s="208">
        <f ca="1">OFFSET($L$14,0,B31-Assumptions!$B$3)</f>
        <v>19168369.408365503</v>
      </c>
      <c r="G31" s="233">
        <f>'Cost Recovery Timing'!S15</f>
        <v>18.475999999999999</v>
      </c>
      <c r="H31" s="619">
        <f>Assumptions!$B$23</f>
        <v>0.02</v>
      </c>
      <c r="I31" s="231">
        <f>+I22</f>
        <v>108126.3377156261</v>
      </c>
      <c r="J31" s="228">
        <f>(G31*I31*Assumptions!$B$28)+'2026 Collections Summary'!B21</f>
        <v>1708232.4411901725</v>
      </c>
      <c r="K31" s="216">
        <f ca="1">+C31+D31+J31-E31-F31</f>
        <v>-16067270.692774862</v>
      </c>
      <c r="L31" s="208">
        <f ca="1">IF(K31&lt;0,0,+K31*$L$25)</f>
        <v>0</v>
      </c>
      <c r="M31" s="212">
        <f ca="1">IF(K31&lt;0,+K31*$M$25,0)</f>
        <v>-722384.49034715781</v>
      </c>
      <c r="N31" s="213">
        <f t="shared" ref="N31:N65" ca="1" si="11">+L31+K31+M31</f>
        <v>-16789655.18312202</v>
      </c>
      <c r="P31" s="42"/>
    </row>
    <row r="32" spans="1:16">
      <c r="A32" s="131"/>
      <c r="B32" s="154">
        <f t="shared" si="10"/>
        <v>2027</v>
      </c>
      <c r="C32" s="172">
        <f t="shared" ref="C32:C65" ca="1" si="12">+N31</f>
        <v>-16789655.18312202</v>
      </c>
      <c r="D32" s="171">
        <v>0</v>
      </c>
      <c r="E32" s="172">
        <f>SUMIF('Regional Water Debenture'!$D$10:$D$39,B32,'Regional Water Debenture'!$E$10:$E$39)</f>
        <v>1866883.54</v>
      </c>
      <c r="F32" s="173">
        <f ca="1">OFFSET($L$14,0,B32-Assumptions!$B$3)</f>
        <v>0</v>
      </c>
      <c r="G32" s="234">
        <f>'Cost Recovery Timing'!S16</f>
        <v>28.58</v>
      </c>
      <c r="H32" s="165">
        <f>Assumptions!$B$23</f>
        <v>0.02</v>
      </c>
      <c r="I32" s="176">
        <f t="shared" ref="I32:I65" si="13">+IF(B32&gt;$B$54,0,I31*(1+$H32))</f>
        <v>110288.86446993862</v>
      </c>
      <c r="J32" s="229">
        <f>(G32*I32*Assumptions!$B$28)+(G31*I31*Assumptions!$B$27)+(G30*I30*Assumptions!$B$26)+'2026 Collections Summary'!B34</f>
        <v>2397459.9351554262</v>
      </c>
      <c r="K32" s="172">
        <f t="shared" ref="K32:K65" ca="1" si="14">+C32+D32+J32-E32-F32</f>
        <v>-16259078.787966594</v>
      </c>
      <c r="L32" s="173">
        <f t="shared" ref="L32:L65" ca="1" si="15">IF(K32&lt;0,0,+K32*$L$25)</f>
        <v>0</v>
      </c>
      <c r="M32" s="174">
        <f ca="1">IF(K32&lt;0,+K32*$M$25,0)</f>
        <v>-731008.18230697804</v>
      </c>
      <c r="N32" s="195">
        <f t="shared" ca="1" si="11"/>
        <v>-16990086.970273573</v>
      </c>
      <c r="P32" s="42"/>
    </row>
    <row r="33" spans="1:16">
      <c r="A33" s="131"/>
      <c r="B33" s="154">
        <f t="shared" si="10"/>
        <v>2028</v>
      </c>
      <c r="C33" s="172">
        <f t="shared" ca="1" si="12"/>
        <v>-16990086.970273573</v>
      </c>
      <c r="D33" s="171">
        <v>0</v>
      </c>
      <c r="E33" s="172">
        <f>SUMIF('Regional Water Debenture'!$D$10:$D$39,B33,'Regional Water Debenture'!$E$10:$E$39)</f>
        <v>1866883.54</v>
      </c>
      <c r="F33" s="173">
        <f ca="1">OFFSET($L$14,0,B33-Assumptions!$B$3)</f>
        <v>0</v>
      </c>
      <c r="G33" s="234">
        <f>'Cost Recovery Timing'!S17</f>
        <v>28.58</v>
      </c>
      <c r="H33" s="165">
        <f>Assumptions!$B$23</f>
        <v>0.02</v>
      </c>
      <c r="I33" s="176">
        <f t="shared" si="13"/>
        <v>112494.64175933739</v>
      </c>
      <c r="J33" s="173">
        <f>(G33*I33*Assumptions!$B$28)+(G32*I32*Assumptions!$B$27)+(G31*I31*Assumptions!$B$26)</f>
        <v>2709242.6686633755</v>
      </c>
      <c r="K33" s="172">
        <f t="shared" ca="1" si="14"/>
        <v>-16147727.841610197</v>
      </c>
      <c r="L33" s="173">
        <f t="shared" ca="1" si="15"/>
        <v>0</v>
      </c>
      <c r="M33" s="174">
        <f t="shared" ref="M33:M65" ca="1" si="16">IF(K33&lt;0,+K33*$M$25,0)</f>
        <v>-726001.84375879448</v>
      </c>
      <c r="N33" s="195">
        <f t="shared" ca="1" si="11"/>
        <v>-16873729.685368992</v>
      </c>
      <c r="P33" s="42"/>
    </row>
    <row r="34" spans="1:16">
      <c r="A34" s="131"/>
      <c r="B34" s="154">
        <f t="shared" si="10"/>
        <v>2029</v>
      </c>
      <c r="C34" s="172">
        <f t="shared" ca="1" si="12"/>
        <v>-16873729.685368992</v>
      </c>
      <c r="D34" s="171">
        <v>0</v>
      </c>
      <c r="E34" s="172">
        <f>SUMIF('Regional Water Debenture'!$D$10:$D$39,B34,'Regional Water Debenture'!$E$10:$E$39)</f>
        <v>1866883.54</v>
      </c>
      <c r="F34" s="173">
        <f ca="1">OFFSET($L$14,0,B34-Assumptions!$B$3)</f>
        <v>0</v>
      </c>
      <c r="G34" s="234">
        <f>'Cost Recovery Timing'!S18</f>
        <v>28.58</v>
      </c>
      <c r="H34" s="165">
        <f>Assumptions!$B$23</f>
        <v>0.02</v>
      </c>
      <c r="I34" s="176">
        <f t="shared" si="13"/>
        <v>114744.53459452414</v>
      </c>
      <c r="J34" s="173">
        <f>(G34*I34*Assumptions!$B$28)+(G33*I33*Assumptions!$B$27)+(G32*I32*Assumptions!$B$26)</f>
        <v>3209170.9966783468</v>
      </c>
      <c r="K34" s="172">
        <f t="shared" ca="1" si="14"/>
        <v>-15531442.228690647</v>
      </c>
      <c r="L34" s="173">
        <f t="shared" ca="1" si="15"/>
        <v>0</v>
      </c>
      <c r="M34" s="174">
        <f t="shared" ca="1" si="16"/>
        <v>-698293.64260193147</v>
      </c>
      <c r="N34" s="195">
        <f t="shared" ca="1" si="11"/>
        <v>-16229735.871292578</v>
      </c>
      <c r="P34" s="42"/>
    </row>
    <row r="35" spans="1:16">
      <c r="A35" s="131"/>
      <c r="B35" s="154">
        <f t="shared" si="10"/>
        <v>2030</v>
      </c>
      <c r="C35" s="172">
        <f t="shared" ca="1" si="12"/>
        <v>-16229735.871292578</v>
      </c>
      <c r="D35" s="171">
        <v>0</v>
      </c>
      <c r="E35" s="172">
        <f>SUMIF('Regional Water Debenture'!$D$10:$D$39,B35,'Regional Water Debenture'!$E$10:$E$39)</f>
        <v>1866883.54</v>
      </c>
      <c r="F35" s="173">
        <f ca="1">OFFSET($L$14,0,B35-Assumptions!$B$3)</f>
        <v>0</v>
      </c>
      <c r="G35" s="234">
        <f>'Cost Recovery Timing'!S19</f>
        <v>28.58</v>
      </c>
      <c r="H35" s="165">
        <f>Assumptions!$B$23</f>
        <v>0.02</v>
      </c>
      <c r="I35" s="176">
        <f t="shared" si="13"/>
        <v>117039.42528641463</v>
      </c>
      <c r="J35" s="173">
        <f>(G35*I35*Assumptions!$B$28)+(G34*I34*Assumptions!$B$27)+(G33*I33*Assumptions!$B$26)</f>
        <v>3273354.4166119136</v>
      </c>
      <c r="K35" s="172">
        <f t="shared" ca="1" si="14"/>
        <v>-14823264.994680665</v>
      </c>
      <c r="L35" s="173">
        <f t="shared" ca="1" si="15"/>
        <v>0</v>
      </c>
      <c r="M35" s="174">
        <f t="shared" ca="1" si="16"/>
        <v>-666453.99416084273</v>
      </c>
      <c r="N35" s="195">
        <f t="shared" ca="1" si="11"/>
        <v>-15489718.988841508</v>
      </c>
      <c r="P35" s="42"/>
    </row>
    <row r="36" spans="1:16">
      <c r="A36" s="131"/>
      <c r="B36" s="154">
        <f t="shared" si="10"/>
        <v>2031</v>
      </c>
      <c r="C36" s="172">
        <f t="shared" ca="1" si="12"/>
        <v>-15489718.988841508</v>
      </c>
      <c r="D36" s="171">
        <v>0</v>
      </c>
      <c r="E36" s="172">
        <f>SUMIF('Regional Water Debenture'!$D$10:$D$39,B36,'Regional Water Debenture'!$E$10:$E$39)</f>
        <v>1866883.54</v>
      </c>
      <c r="F36" s="173">
        <f ca="1">OFFSET($L$14,0,B36-Assumptions!$B$3)</f>
        <v>0</v>
      </c>
      <c r="G36" s="234">
        <f>'Cost Recovery Timing'!S20</f>
        <v>28.58</v>
      </c>
      <c r="H36" s="165">
        <f>Assumptions!$B$23</f>
        <v>0.02</v>
      </c>
      <c r="I36" s="176">
        <f t="shared" si="13"/>
        <v>119380.21379214292</v>
      </c>
      <c r="J36" s="173">
        <f>(G36*I36*Assumptions!$B$28)+(G35*I35*Assumptions!$B$27)+(G34*I34*Assumptions!$B$26)</f>
        <v>3338821.5049441522</v>
      </c>
      <c r="K36" s="172">
        <f t="shared" ca="1" si="14"/>
        <v>-14017781.023897354</v>
      </c>
      <c r="L36" s="173">
        <f t="shared" ca="1" si="15"/>
        <v>0</v>
      </c>
      <c r="M36" s="174">
        <f t="shared" ca="1" si="16"/>
        <v>-630239.43483442499</v>
      </c>
      <c r="N36" s="195">
        <f t="shared" ca="1" si="11"/>
        <v>-14648020.458731778</v>
      </c>
      <c r="P36" s="42"/>
    </row>
    <row r="37" spans="1:16">
      <c r="A37" s="131"/>
      <c r="B37" s="154">
        <f t="shared" si="10"/>
        <v>2032</v>
      </c>
      <c r="C37" s="172">
        <f t="shared" ca="1" si="12"/>
        <v>-14648020.458731778</v>
      </c>
      <c r="D37" s="171">
        <v>0</v>
      </c>
      <c r="E37" s="172">
        <f>SUMIF('Regional Water Debenture'!$D$10:$D$39,B37,'Regional Water Debenture'!$E$10:$E$39)</f>
        <v>1866883.54</v>
      </c>
      <c r="F37" s="173">
        <f ca="1">OFFSET($L$14,0,B37-Assumptions!$B$3)</f>
        <v>0</v>
      </c>
      <c r="G37" s="234">
        <f>'Cost Recovery Timing'!S21</f>
        <v>28.58</v>
      </c>
      <c r="H37" s="165">
        <f>Assumptions!$B$23</f>
        <v>0.02</v>
      </c>
      <c r="I37" s="176">
        <f t="shared" si="13"/>
        <v>121767.81806798579</v>
      </c>
      <c r="J37" s="173">
        <f>(G37*I37*Assumptions!$B$28)+(G36*I36*Assumptions!$B$27)+(G35*I35*Assumptions!$B$26)</f>
        <v>3405597.9350430351</v>
      </c>
      <c r="K37" s="172">
        <f t="shared" ca="1" si="14"/>
        <v>-13109306.063688744</v>
      </c>
      <c r="L37" s="173">
        <f t="shared" ca="1" si="15"/>
        <v>0</v>
      </c>
      <c r="M37" s="174">
        <f t="shared" ca="1" si="16"/>
        <v>-589394.40062344598</v>
      </c>
      <c r="N37" s="195">
        <f t="shared" ca="1" si="11"/>
        <v>-13698700.46431219</v>
      </c>
      <c r="P37" s="42"/>
    </row>
    <row r="38" spans="1:16">
      <c r="A38" s="131"/>
      <c r="B38" s="154">
        <f t="shared" si="10"/>
        <v>2033</v>
      </c>
      <c r="C38" s="172">
        <f t="shared" ca="1" si="12"/>
        <v>-13698700.46431219</v>
      </c>
      <c r="D38" s="171">
        <v>0</v>
      </c>
      <c r="E38" s="172">
        <f>SUMIF('Regional Water Debenture'!$D$10:$D$39,B38,'Regional Water Debenture'!$E$10:$E$39)</f>
        <v>1866883.54</v>
      </c>
      <c r="F38" s="173">
        <f ca="1">OFFSET($L$14,0,B38-Assumptions!$B$3)</f>
        <v>7407978.7682918236</v>
      </c>
      <c r="G38" s="234">
        <f>'Cost Recovery Timing'!S22</f>
        <v>28.58</v>
      </c>
      <c r="H38" s="165">
        <f>Assumptions!$B$23</f>
        <v>0.02</v>
      </c>
      <c r="I38" s="176">
        <f t="shared" si="13"/>
        <v>124203.17442934551</v>
      </c>
      <c r="J38" s="173">
        <f>(G38*I38*Assumptions!$B$28)+(G37*I37*Assumptions!$B$27)+(G36*I36*Assumptions!$B$26)</f>
        <v>3473709.8937438959</v>
      </c>
      <c r="K38" s="172">
        <f t="shared" ca="1" si="14"/>
        <v>-19499852.878860116</v>
      </c>
      <c r="L38" s="173">
        <f t="shared" ca="1" si="15"/>
        <v>0</v>
      </c>
      <c r="M38" s="174">
        <f ca="1">IF(K38&lt;0,+K38*$M$25,0)</f>
        <v>-876713.38543355081</v>
      </c>
      <c r="N38" s="195">
        <f t="shared" ca="1" si="11"/>
        <v>-20376566.264293667</v>
      </c>
      <c r="P38" s="42"/>
    </row>
    <row r="39" spans="1:16">
      <c r="A39" s="131"/>
      <c r="B39" s="154">
        <f t="shared" si="10"/>
        <v>2034</v>
      </c>
      <c r="C39" s="172">
        <f t="shared" ca="1" si="12"/>
        <v>-20376566.264293667</v>
      </c>
      <c r="D39" s="171">
        <v>0</v>
      </c>
      <c r="E39" s="172">
        <f>SUMIF('Regional Water Debenture'!$D$10:$D$39,B39,'Regional Water Debenture'!$E$10:$E$39)</f>
        <v>1866883.54</v>
      </c>
      <c r="F39" s="173">
        <f ca="1">OFFSET($L$14,0,B39-Assumptions!$B$3)</f>
        <v>7593178.2374991188</v>
      </c>
      <c r="G39" s="234">
        <f>'Cost Recovery Timing'!S23</f>
        <v>28.58</v>
      </c>
      <c r="H39" s="165">
        <f>Assumptions!$B$23</f>
        <v>0.02</v>
      </c>
      <c r="I39" s="176">
        <f t="shared" si="13"/>
        <v>126687.23791793242</v>
      </c>
      <c r="J39" s="173">
        <f>(G39*I39*Assumptions!$B$28)+(G38*I38*Assumptions!$B$27)+(G37*I37*Assumptions!$B$26)</f>
        <v>3543184.0916187745</v>
      </c>
      <c r="K39" s="172">
        <f t="shared" ca="1" si="14"/>
        <v>-26293443.950174011</v>
      </c>
      <c r="L39" s="173">
        <f t="shared" ca="1" si="15"/>
        <v>0</v>
      </c>
      <c r="M39" s="174">
        <f t="shared" ca="1" si="16"/>
        <v>-1182153.2399998235</v>
      </c>
      <c r="N39" s="195">
        <f t="shared" ca="1" si="11"/>
        <v>-27475597.190173835</v>
      </c>
      <c r="P39" s="42"/>
    </row>
    <row r="40" spans="1:16">
      <c r="A40" s="131"/>
      <c r="B40" s="154">
        <f t="shared" si="10"/>
        <v>2035</v>
      </c>
      <c r="C40" s="172">
        <f t="shared" ca="1" si="12"/>
        <v>-27475597.190173835</v>
      </c>
      <c r="D40" s="171">
        <v>0</v>
      </c>
      <c r="E40" s="172">
        <f>SUMIF('Regional Water Debenture'!$D$10:$D$39,B40,'Regional Water Debenture'!$E$10:$E$39)</f>
        <v>1866883.54</v>
      </c>
      <c r="F40" s="173">
        <f ca="1">OFFSET($L$14,0,B40-Assumptions!$B$3)</f>
        <v>0</v>
      </c>
      <c r="G40" s="234">
        <f>'Cost Recovery Timing'!S24</f>
        <v>28.58</v>
      </c>
      <c r="H40" s="165">
        <f>Assumptions!$B$23</f>
        <v>0.02</v>
      </c>
      <c r="I40" s="176">
        <f t="shared" si="13"/>
        <v>129220.98267629107</v>
      </c>
      <c r="J40" s="173">
        <f>(G40*I40*Assumptions!$B$28)+(G39*I39*Assumptions!$B$27)+(G38*I38*Assumptions!$B$26)</f>
        <v>3614047.7734511495</v>
      </c>
      <c r="K40" s="172">
        <f t="shared" ca="1" si="14"/>
        <v>-25728432.956722684</v>
      </c>
      <c r="L40" s="173">
        <f t="shared" ca="1" si="15"/>
        <v>0</v>
      </c>
      <c r="M40" s="174">
        <f t="shared" ca="1" si="16"/>
        <v>-1156750.3457342519</v>
      </c>
      <c r="N40" s="195">
        <f t="shared" ca="1" si="11"/>
        <v>-26885183.302456938</v>
      </c>
      <c r="P40" s="42"/>
    </row>
    <row r="41" spans="1:16">
      <c r="A41" s="131"/>
      <c r="B41" s="154">
        <f t="shared" si="10"/>
        <v>2036</v>
      </c>
      <c r="C41" s="172">
        <f t="shared" ca="1" si="12"/>
        <v>-26885183.302456938</v>
      </c>
      <c r="D41" s="171">
        <v>0</v>
      </c>
      <c r="E41" s="172">
        <f>SUMIF('Regional Water Debenture'!$D$10:$D$39,B41,'Regional Water Debenture'!$E$10:$E$39)</f>
        <v>1866883.54</v>
      </c>
      <c r="F41" s="173">
        <f ca="1">OFFSET($L$14,0,B41-Assumptions!$B$3)</f>
        <v>0</v>
      </c>
      <c r="G41" s="234">
        <f>'Cost Recovery Timing'!S25</f>
        <v>28.58</v>
      </c>
      <c r="H41" s="165">
        <f>Assumptions!$B$23</f>
        <v>0.02</v>
      </c>
      <c r="I41" s="176">
        <f t="shared" si="13"/>
        <v>131805.40232981689</v>
      </c>
      <c r="J41" s="173">
        <f>(G41*I41*Assumptions!$B$28)+(G40*I40*Assumptions!$B$27)+(G39*I39*Assumptions!$B$26)</f>
        <v>3686328.7289201729</v>
      </c>
      <c r="K41" s="172">
        <f t="shared" ca="1" si="14"/>
        <v>-25065738.113536764</v>
      </c>
      <c r="L41" s="173">
        <f t="shared" ca="1" si="15"/>
        <v>0</v>
      </c>
      <c r="M41" s="174">
        <f t="shared" ca="1" si="16"/>
        <v>-1126955.5855846128</v>
      </c>
      <c r="N41" s="195">
        <f t="shared" ca="1" si="11"/>
        <v>-26192693.699121378</v>
      </c>
      <c r="P41" s="42"/>
    </row>
    <row r="42" spans="1:16">
      <c r="A42" s="131"/>
      <c r="B42" s="154">
        <f t="shared" si="10"/>
        <v>2037</v>
      </c>
      <c r="C42" s="172">
        <f t="shared" ca="1" si="12"/>
        <v>-26192693.699121378</v>
      </c>
      <c r="D42" s="171">
        <v>0</v>
      </c>
      <c r="E42" s="172">
        <f>SUMIF('Regional Water Debenture'!$D$10:$D$39,B42,'Regional Water Debenture'!$E$10:$E$39)</f>
        <v>1866883.54</v>
      </c>
      <c r="F42" s="173">
        <f ca="1">OFFSET($L$14,0,B42-Assumptions!$B$3)</f>
        <v>0</v>
      </c>
      <c r="G42" s="234">
        <f>'Cost Recovery Timing'!S26</f>
        <v>28.58</v>
      </c>
      <c r="H42" s="165">
        <f>Assumptions!$B$23</f>
        <v>0.02</v>
      </c>
      <c r="I42" s="176">
        <f t="shared" si="13"/>
        <v>134441.51037641324</v>
      </c>
      <c r="J42" s="173">
        <f>(G42*I42*Assumptions!$B$28)+(G41*I41*Assumptions!$B$27)+(G40*I40*Assumptions!$B$26)</f>
        <v>3760055.3034985764</v>
      </c>
      <c r="K42" s="172">
        <f t="shared" ca="1" si="14"/>
        <v>-24299521.9356228</v>
      </c>
      <c r="L42" s="173">
        <f t="shared" ca="1" si="15"/>
        <v>0</v>
      </c>
      <c r="M42" s="174">
        <f t="shared" ca="1" si="16"/>
        <v>-1092506.5062256011</v>
      </c>
      <c r="N42" s="195">
        <f t="shared" ca="1" si="11"/>
        <v>-25392028.441848401</v>
      </c>
      <c r="P42" s="42"/>
    </row>
    <row r="43" spans="1:16">
      <c r="A43" s="131"/>
      <c r="B43" s="154">
        <f t="shared" si="10"/>
        <v>2038</v>
      </c>
      <c r="C43" s="172">
        <f t="shared" ca="1" si="12"/>
        <v>-25392028.441848401</v>
      </c>
      <c r="D43" s="171">
        <v>0</v>
      </c>
      <c r="E43" s="172">
        <f>SUMIF('Regional Water Debenture'!$D$10:$D$39,B43,'Regional Water Debenture'!$E$10:$E$39)</f>
        <v>1866883.54</v>
      </c>
      <c r="F43" s="173">
        <f ca="1">OFFSET($L$14,0,B43-Assumptions!$B$3)</f>
        <v>0</v>
      </c>
      <c r="G43" s="234">
        <f>'Cost Recovery Timing'!S27</f>
        <v>28.58</v>
      </c>
      <c r="H43" s="165">
        <f>Assumptions!$B$23</f>
        <v>0.02</v>
      </c>
      <c r="I43" s="176">
        <f t="shared" si="13"/>
        <v>137130.34058394149</v>
      </c>
      <c r="J43" s="173">
        <f>(G43*I43*Assumptions!$B$28)+(G42*I42*Assumptions!$B$27)+(G41*I41*Assumptions!$B$26)</f>
        <v>3835256.4095685482</v>
      </c>
      <c r="K43" s="172">
        <f t="shared" ca="1" si="14"/>
        <v>-23423655.572279852</v>
      </c>
      <c r="L43" s="173">
        <f t="shared" ca="1" si="15"/>
        <v>0</v>
      </c>
      <c r="M43" s="174">
        <f t="shared" ca="1" si="16"/>
        <v>-1053127.5545297021</v>
      </c>
      <c r="N43" s="195">
        <f t="shared" ca="1" si="11"/>
        <v>-24476783.126809552</v>
      </c>
      <c r="P43" s="42"/>
    </row>
    <row r="44" spans="1:16">
      <c r="A44" s="131"/>
      <c r="B44" s="154">
        <f>+B43+1</f>
        <v>2039</v>
      </c>
      <c r="C44" s="172">
        <f t="shared" ca="1" si="12"/>
        <v>-24476783.126809552</v>
      </c>
      <c r="D44" s="171">
        <v>0</v>
      </c>
      <c r="E44" s="172">
        <f>SUMIF('Regional Water Debenture'!$D$10:$D$39,B44,'Regional Water Debenture'!$E$10:$E$39)</f>
        <v>1866883.54</v>
      </c>
      <c r="F44" s="173">
        <f ca="1">OFFSET($L$14,0,B44-Assumptions!$B$3)</f>
        <v>0</v>
      </c>
      <c r="G44" s="234">
        <f>'Cost Recovery Timing'!S28</f>
        <v>28.58</v>
      </c>
      <c r="H44" s="165">
        <f>Assumptions!$B$23</f>
        <v>0.02</v>
      </c>
      <c r="I44" s="176">
        <f t="shared" si="13"/>
        <v>139872.94739562031</v>
      </c>
      <c r="J44" s="173">
        <f>(G44*I44*Assumptions!$B$28)+(G43*I43*Assumptions!$B$27)+(G42*I42*Assumptions!$B$26)</f>
        <v>3911961.5377599187</v>
      </c>
      <c r="K44" s="172">
        <f t="shared" ca="1" si="14"/>
        <v>-22431705.129049633</v>
      </c>
      <c r="L44" s="173">
        <f t="shared" ca="1" si="15"/>
        <v>0</v>
      </c>
      <c r="M44" s="174">
        <f t="shared" ca="1" si="16"/>
        <v>-1008529.4626020715</v>
      </c>
      <c r="N44" s="195">
        <f t="shared" ca="1" si="11"/>
        <v>-23440234.591651704</v>
      </c>
      <c r="P44" s="42"/>
    </row>
    <row r="45" spans="1:16">
      <c r="A45" s="131"/>
      <c r="B45" s="154">
        <f t="shared" si="10"/>
        <v>2040</v>
      </c>
      <c r="C45" s="172">
        <f t="shared" ca="1" si="12"/>
        <v>-23440234.591651704</v>
      </c>
      <c r="D45" s="171">
        <v>0</v>
      </c>
      <c r="E45" s="172">
        <f>SUMIF('Regional Water Debenture'!$D$10:$D$39,B45,'Regional Water Debenture'!$E$10:$E$39)</f>
        <v>1866883.54</v>
      </c>
      <c r="F45" s="173">
        <f ca="1">OFFSET($L$14,0,B45-Assumptions!$B$3)</f>
        <v>0</v>
      </c>
      <c r="G45" s="234">
        <f>'Cost Recovery Timing'!S29</f>
        <v>28.58</v>
      </c>
      <c r="H45" s="165">
        <f>Assumptions!$B$23</f>
        <v>0.02</v>
      </c>
      <c r="I45" s="176">
        <f t="shared" si="13"/>
        <v>142670.40634353273</v>
      </c>
      <c r="J45" s="173">
        <f>(G45*I45*Assumptions!$B$28)+(G44*I44*Assumptions!$B$27)+(G43*I43*Assumptions!$B$26)</f>
        <v>3990200.768515117</v>
      </c>
      <c r="K45" s="172">
        <f t="shared" ca="1" si="14"/>
        <v>-21316917.363136586</v>
      </c>
      <c r="L45" s="173">
        <f t="shared" ca="1" si="15"/>
        <v>0</v>
      </c>
      <c r="M45" s="174">
        <f t="shared" ca="1" si="16"/>
        <v>-958408.60464662092</v>
      </c>
      <c r="N45" s="195">
        <f t="shared" ca="1" si="11"/>
        <v>-22275325.967783205</v>
      </c>
      <c r="P45" s="42"/>
    </row>
    <row r="46" spans="1:16">
      <c r="B46" s="154">
        <f>+B45+1</f>
        <v>2041</v>
      </c>
      <c r="C46" s="225">
        <f t="shared" ca="1" si="12"/>
        <v>-22275325.967783205</v>
      </c>
      <c r="D46" s="225">
        <v>0</v>
      </c>
      <c r="E46" s="225">
        <f>SUMIF('Regional Water Debenture'!$D$10:$D$39,B46,'Regional Water Debenture'!$E$10:$E$39)</f>
        <v>1866883.54</v>
      </c>
      <c r="F46" s="175">
        <f ca="1">OFFSET($L$14,0,B46-Assumptions!$B$3)</f>
        <v>0</v>
      </c>
      <c r="G46" s="235">
        <f>'Cost Recovery Timing'!S30</f>
        <v>28.58</v>
      </c>
      <c r="H46" s="550">
        <f>Assumptions!$B$23</f>
        <v>0.02</v>
      </c>
      <c r="I46" s="176">
        <f t="shared" si="13"/>
        <v>145523.81447040339</v>
      </c>
      <c r="J46" s="175">
        <f>(G46*I46*Assumptions!$B$28)+(G45*I45*Assumptions!$B$27)+(G44*I44*Assumptions!$B$26)</f>
        <v>4070004.7838854194</v>
      </c>
      <c r="K46" s="225">
        <f t="shared" ca="1" si="14"/>
        <v>-20072204.723897785</v>
      </c>
      <c r="L46" s="175">
        <f t="shared" ca="1" si="15"/>
        <v>0</v>
      </c>
      <c r="M46" s="174">
        <f t="shared" ca="1" si="16"/>
        <v>-902446.32438644441</v>
      </c>
      <c r="N46" s="195">
        <f t="shared" ca="1" si="11"/>
        <v>-20974651.048284229</v>
      </c>
      <c r="P46" s="42"/>
    </row>
    <row r="47" spans="1:16">
      <c r="A47" s="640"/>
      <c r="B47" s="154">
        <f>+B46+1</f>
        <v>2042</v>
      </c>
      <c r="C47" s="225">
        <f t="shared" ca="1" si="12"/>
        <v>-20974651.048284229</v>
      </c>
      <c r="D47" s="225">
        <v>0</v>
      </c>
      <c r="E47" s="225">
        <f>SUMIF('Regional Water Debenture'!$D$10:$D$39,B47,'Regional Water Debenture'!$E$10:$E$39)</f>
        <v>1866883.54</v>
      </c>
      <c r="F47" s="175">
        <f ca="1">OFFSET($L$14,0,B47-Assumptions!$B$3)</f>
        <v>0</v>
      </c>
      <c r="G47" s="235">
        <f>'Cost Recovery Timing'!S31</f>
        <v>28.58</v>
      </c>
      <c r="H47" s="550">
        <f>Assumptions!$B$23</f>
        <v>0.02</v>
      </c>
      <c r="I47" s="175">
        <f t="shared" si="13"/>
        <v>148434.29075981147</v>
      </c>
      <c r="J47" s="175">
        <f>(G47*I47*Assumptions!$B$28)+(G46*I46*Assumptions!$B$27)+(G45*I45*Assumptions!$B$26)</f>
        <v>4151404.8795631281</v>
      </c>
      <c r="K47" s="225">
        <f t="shared" ca="1" si="14"/>
        <v>-18690129.708721101</v>
      </c>
      <c r="L47" s="175">
        <f t="shared" ca="1" si="15"/>
        <v>0</v>
      </c>
      <c r="M47" s="174">
        <f t="shared" ca="1" si="16"/>
        <v>-840308.23170410073</v>
      </c>
      <c r="N47" s="195">
        <f t="shared" ca="1" si="11"/>
        <v>-19530437.940425202</v>
      </c>
      <c r="P47" s="42"/>
    </row>
    <row r="48" spans="1:16">
      <c r="A48" s="131"/>
      <c r="B48" s="154">
        <f t="shared" si="10"/>
        <v>2043</v>
      </c>
      <c r="C48" s="172">
        <f t="shared" ca="1" si="12"/>
        <v>-19530437.940425202</v>
      </c>
      <c r="D48" s="171">
        <v>0</v>
      </c>
      <c r="E48" s="172">
        <f>SUMIF('Regional Water Debenture'!$D$10:$D$39,B48,'Regional Water Debenture'!$E$10:$E$39)</f>
        <v>1866883.54</v>
      </c>
      <c r="F48" s="173">
        <f ca="1">OFFSET($L$14,0,B48-Assumptions!$B$3)</f>
        <v>0</v>
      </c>
      <c r="G48" s="234">
        <f>'Cost Recovery Timing'!S32</f>
        <v>28.58</v>
      </c>
      <c r="H48" s="165">
        <f>Assumptions!$B$23</f>
        <v>0.02</v>
      </c>
      <c r="I48" s="176">
        <f t="shared" si="13"/>
        <v>151402.97657500769</v>
      </c>
      <c r="J48" s="173">
        <f>(G48*I48*Assumptions!$B$28)+(G47*I47*Assumptions!$B$27)+(G46*I46*Assumptions!$B$26)</f>
        <v>4234432.9771543909</v>
      </c>
      <c r="K48" s="172">
        <f t="shared" ca="1" si="14"/>
        <v>-17162888.503270812</v>
      </c>
      <c r="L48" s="173">
        <f t="shared" ca="1" si="15"/>
        <v>0</v>
      </c>
      <c r="M48" s="174">
        <f t="shared" ca="1" si="16"/>
        <v>-771643.46710705571</v>
      </c>
      <c r="N48" s="195">
        <f t="shared" ca="1" si="11"/>
        <v>-17934531.97037787</v>
      </c>
      <c r="P48" s="42"/>
    </row>
    <row r="49" spans="1:17">
      <c r="A49" s="131"/>
      <c r="B49" s="154">
        <f>+B48+1</f>
        <v>2044</v>
      </c>
      <c r="C49" s="172">
        <f t="shared" ca="1" si="12"/>
        <v>-17934531.97037787</v>
      </c>
      <c r="D49" s="171">
        <v>0</v>
      </c>
      <c r="E49" s="172">
        <f>SUMIF('Regional Water Debenture'!$D$10:$D$39,B49,'Regional Water Debenture'!$E$10:$E$39)</f>
        <v>1866883.54</v>
      </c>
      <c r="F49" s="173">
        <f ca="1">OFFSET($L$14,0,B49-Assumptions!$B$3)</f>
        <v>0</v>
      </c>
      <c r="G49" s="234">
        <f>'Cost Recovery Timing'!S33</f>
        <v>28.58</v>
      </c>
      <c r="H49" s="165">
        <f>Assumptions!$B$23</f>
        <v>0.02</v>
      </c>
      <c r="I49" s="176">
        <f t="shared" si="13"/>
        <v>154431.03610650785</v>
      </c>
      <c r="J49" s="173">
        <f>(G49*I49*Assumptions!$B$28)+(G48*I48*Assumptions!$B$27)+(G47*I47*Assumptions!$B$26)</f>
        <v>4319121.6366974786</v>
      </c>
      <c r="K49" s="172">
        <f t="shared" ca="1" si="14"/>
        <v>-15482293.87368039</v>
      </c>
      <c r="L49" s="173">
        <f t="shared" ca="1" si="15"/>
        <v>0</v>
      </c>
      <c r="M49" s="174">
        <f t="shared" ca="1" si="16"/>
        <v>-696083.93256067031</v>
      </c>
      <c r="N49" s="195">
        <f t="shared" ca="1" si="11"/>
        <v>-16178377.806241062</v>
      </c>
      <c r="P49" s="42"/>
    </row>
    <row r="50" spans="1:17">
      <c r="A50" s="131"/>
      <c r="B50" s="154">
        <f t="shared" si="10"/>
        <v>2045</v>
      </c>
      <c r="C50" s="172">
        <f t="shared" ca="1" si="12"/>
        <v>-16178377.806241062</v>
      </c>
      <c r="D50" s="171">
        <v>0</v>
      </c>
      <c r="E50" s="172">
        <f>SUMIF('Regional Water Debenture'!$D$10:$D$39,B50,'Regional Water Debenture'!$E$10:$E$39)</f>
        <v>1866883.54</v>
      </c>
      <c r="F50" s="173">
        <f ca="1">OFFSET($L$14,0,B50-Assumptions!$B$3)</f>
        <v>0</v>
      </c>
      <c r="G50" s="234">
        <f>'Cost Recovery Timing'!S34</f>
        <v>28.58</v>
      </c>
      <c r="H50" s="165">
        <f>Assumptions!$B$23</f>
        <v>0.02</v>
      </c>
      <c r="I50" s="176">
        <f t="shared" si="13"/>
        <v>157519.65682863802</v>
      </c>
      <c r="J50" s="173">
        <f>(G50*I50*Assumptions!$B$28)+(G49*I49*Assumptions!$B$27)+(G48*I48*Assumptions!$B$26)</f>
        <v>4405504.0694314279</v>
      </c>
      <c r="K50" s="172">
        <f t="shared" ca="1" si="14"/>
        <v>-13639757.276809633</v>
      </c>
      <c r="L50" s="173">
        <f t="shared" ca="1" si="15"/>
        <v>0</v>
      </c>
      <c r="M50" s="174">
        <f t="shared" ca="1" si="16"/>
        <v>-613243.48716536106</v>
      </c>
      <c r="N50" s="195">
        <f t="shared" ca="1" si="11"/>
        <v>-14253000.763974994</v>
      </c>
      <c r="P50" s="42"/>
    </row>
    <row r="51" spans="1:17">
      <c r="A51" s="131"/>
      <c r="B51" s="154">
        <f t="shared" si="10"/>
        <v>2046</v>
      </c>
      <c r="C51" s="172">
        <f t="shared" ca="1" si="12"/>
        <v>-14253000.763974994</v>
      </c>
      <c r="D51" s="171">
        <v>0</v>
      </c>
      <c r="E51" s="172">
        <f>SUMIF('Regional Water Debenture'!$D$10:$D$39,B51,'Regional Water Debenture'!$E$10:$E$39)</f>
        <v>1866883.54</v>
      </c>
      <c r="F51" s="173">
        <f ca="1">OFFSET($L$14,0,B51-Assumptions!$B$3)</f>
        <v>0</v>
      </c>
      <c r="G51" s="234">
        <f>'Cost Recovery Timing'!S35</f>
        <v>28.58</v>
      </c>
      <c r="H51" s="165">
        <f>Assumptions!$B$23</f>
        <v>0.02</v>
      </c>
      <c r="I51" s="176">
        <f t="shared" si="13"/>
        <v>160670.04996521078</v>
      </c>
      <c r="J51" s="173">
        <f>(G51*I51*Assumptions!$B$28)+(G50*I50*Assumptions!$B$27)+(G49*I49*Assumptions!$B$26)</f>
        <v>4493614.1508200569</v>
      </c>
      <c r="K51" s="172">
        <f t="shared" ca="1" si="14"/>
        <v>-11626270.153154936</v>
      </c>
      <c r="L51" s="173">
        <f t="shared" ca="1" si="15"/>
        <v>0</v>
      </c>
      <c r="M51" s="174">
        <f t="shared" ca="1" si="16"/>
        <v>-522717.10608584591</v>
      </c>
      <c r="N51" s="195">
        <f t="shared" ca="1" si="11"/>
        <v>-12148987.259240782</v>
      </c>
      <c r="P51" s="42"/>
    </row>
    <row r="52" spans="1:17">
      <c r="A52" s="131"/>
      <c r="B52" s="154">
        <f t="shared" si="10"/>
        <v>2047</v>
      </c>
      <c r="C52" s="172">
        <f t="shared" ca="1" si="12"/>
        <v>-12148987.259240782</v>
      </c>
      <c r="D52" s="171">
        <v>0</v>
      </c>
      <c r="E52" s="172">
        <f>SUMIF('Regional Water Debenture'!$D$10:$D$39,B52,'Regional Water Debenture'!$E$10:$E$39)</f>
        <v>1866883.54</v>
      </c>
      <c r="F52" s="173">
        <f ca="1">OFFSET($L$14,0,B52-Assumptions!$B$3)</f>
        <v>0</v>
      </c>
      <c r="G52" s="234">
        <f>'Cost Recovery Timing'!S36</f>
        <v>28.58</v>
      </c>
      <c r="H52" s="165">
        <f>Assumptions!$B$23</f>
        <v>0.02</v>
      </c>
      <c r="I52" s="176">
        <f t="shared" si="13"/>
        <v>163883.45096451501</v>
      </c>
      <c r="J52" s="173">
        <f>(G52*I52*Assumptions!$B$28)+(G51*I51*Assumptions!$B$27)+(G50*I50*Assumptions!$B$26)</f>
        <v>4583486.4338364583</v>
      </c>
      <c r="K52" s="172">
        <f t="shared" ca="1" si="14"/>
        <v>-9432384.3654043227</v>
      </c>
      <c r="L52" s="173">
        <f t="shared" ca="1" si="15"/>
        <v>0</v>
      </c>
      <c r="M52" s="174">
        <f t="shared" ca="1" si="16"/>
        <v>-424080.00106857833</v>
      </c>
      <c r="N52" s="195">
        <f t="shared" ca="1" si="11"/>
        <v>-9856464.3664729018</v>
      </c>
      <c r="P52" s="42"/>
    </row>
    <row r="53" spans="1:17">
      <c r="A53" s="131"/>
      <c r="B53" s="154">
        <f t="shared" si="10"/>
        <v>2048</v>
      </c>
      <c r="C53" s="172">
        <f t="shared" ca="1" si="12"/>
        <v>-9856464.3664729018</v>
      </c>
      <c r="D53" s="171">
        <v>0</v>
      </c>
      <c r="E53" s="172">
        <f>SUMIF('Regional Water Debenture'!$D$10:$D$39,B53,'Regional Water Debenture'!$E$10:$E$39)</f>
        <v>1866883.54</v>
      </c>
      <c r="F53" s="173">
        <f ca="1">OFFSET($L$14,0,B53-Assumptions!$B$3)</f>
        <v>0</v>
      </c>
      <c r="G53" s="234">
        <f>'Cost Recovery Timing'!S37</f>
        <v>28.58</v>
      </c>
      <c r="H53" s="165">
        <f>Assumptions!$B$23</f>
        <v>0.02</v>
      </c>
      <c r="I53" s="176">
        <f t="shared" si="13"/>
        <v>167161.11998380531</v>
      </c>
      <c r="J53" s="173">
        <f>(G53*I53*Assumptions!$B$28)+(G52*I52*Assumptions!$B$27)+(G51*I51*Assumptions!$B$26)</f>
        <v>4675156.1625131881</v>
      </c>
      <c r="K53" s="172">
        <f t="shared" ca="1" si="14"/>
        <v>-7048191.7439597137</v>
      </c>
      <c r="L53" s="173">
        <f t="shared" ca="1" si="15"/>
        <v>0</v>
      </c>
      <c r="M53" s="174">
        <f t="shared" ca="1" si="16"/>
        <v>-316886.70080842875</v>
      </c>
      <c r="N53" s="195">
        <f t="shared" ca="1" si="11"/>
        <v>-7365078.4447681429</v>
      </c>
      <c r="P53" s="42"/>
    </row>
    <row r="54" spans="1:17" ht="15" customHeight="1">
      <c r="A54" s="224" t="s">
        <v>205</v>
      </c>
      <c r="B54" s="207">
        <f t="shared" si="10"/>
        <v>2049</v>
      </c>
      <c r="C54" s="209">
        <f t="shared" ca="1" si="12"/>
        <v>-7365078.4447681429</v>
      </c>
      <c r="D54" s="209">
        <v>0</v>
      </c>
      <c r="E54" s="209">
        <f>SUMIF('Regional Water Debenture'!$D$10:$D$39,B54,'Regional Water Debenture'!$E$10:$E$39)</f>
        <v>1866883.54</v>
      </c>
      <c r="F54" s="210">
        <f ca="1">OFFSET($L$14,0,B54-Assumptions!$B$3)</f>
        <v>0</v>
      </c>
      <c r="G54" s="236">
        <f>'Cost Recovery Timing'!S38</f>
        <v>25.199424354244002</v>
      </c>
      <c r="H54" s="167">
        <f>Assumptions!$B$23</f>
        <v>0.02</v>
      </c>
      <c r="I54" s="210">
        <f>+IF(B54&gt;$B$54,0,I53*(1+$H54))</f>
        <v>170504.34238348142</v>
      </c>
      <c r="J54" s="210">
        <f>(G54*I54*Assumptions!$B$28)+(G53*I53*Assumptions!$B$27)+(G52*I52*Assumptions!$B$26)</f>
        <v>4595738.4375562798</v>
      </c>
      <c r="K54" s="209">
        <f t="shared" ca="1" si="14"/>
        <v>-4636223.5472118631</v>
      </c>
      <c r="L54" s="210">
        <f t="shared" ca="1" si="15"/>
        <v>0</v>
      </c>
      <c r="M54" s="214">
        <f t="shared" ca="1" si="16"/>
        <v>-208444.61068264538</v>
      </c>
      <c r="N54" s="214">
        <f t="shared" ca="1" si="11"/>
        <v>-4844668.1578945089</v>
      </c>
      <c r="O54" s="734" t="s">
        <v>291</v>
      </c>
      <c r="P54" s="735"/>
      <c r="Q54" s="735"/>
    </row>
    <row r="55" spans="1:17">
      <c r="A55" s="131"/>
      <c r="B55" s="154">
        <f t="shared" si="10"/>
        <v>2050</v>
      </c>
      <c r="C55" s="172">
        <f t="shared" ca="1" si="12"/>
        <v>-4844668.1578945089</v>
      </c>
      <c r="D55" s="171">
        <v>0</v>
      </c>
      <c r="E55" s="171">
        <v>0</v>
      </c>
      <c r="F55" s="173">
        <f ca="1">OFFSET($L$14,0,B55-Assumptions!$B$3)+E55</f>
        <v>0</v>
      </c>
      <c r="G55" s="234">
        <f>'Cost Recovery Timing'!S39</f>
        <v>0</v>
      </c>
      <c r="H55" s="165">
        <f>Assumptions!$B$23</f>
        <v>0.02</v>
      </c>
      <c r="I55" s="176">
        <f t="shared" si="13"/>
        <v>0</v>
      </c>
      <c r="J55" s="173">
        <f>(G55*I55*Assumptions!$B$28)+(G54*I54*Assumptions!$B$27)+(G53*I53*Assumptions!$B$26)</f>
        <v>3199969.30704366</v>
      </c>
      <c r="K55" s="172">
        <f t="shared" ca="1" si="14"/>
        <v>-1644698.8508508489</v>
      </c>
      <c r="L55" s="173">
        <f t="shared" ca="1" si="15"/>
        <v>0</v>
      </c>
      <c r="M55" s="174">
        <f t="shared" ca="1" si="16"/>
        <v>-73945.660334254164</v>
      </c>
      <c r="N55" s="606">
        <f t="shared" ca="1" si="11"/>
        <v>-1718644.5111851031</v>
      </c>
      <c r="O55" s="734"/>
      <c r="P55" s="735"/>
      <c r="Q55" s="735"/>
    </row>
    <row r="56" spans="1:17">
      <c r="A56" s="131"/>
      <c r="B56" s="154">
        <f t="shared" si="10"/>
        <v>2051</v>
      </c>
      <c r="C56" s="172">
        <f t="shared" ca="1" si="12"/>
        <v>-1718644.5111851031</v>
      </c>
      <c r="D56" s="171">
        <v>0</v>
      </c>
      <c r="E56" s="171">
        <v>0</v>
      </c>
      <c r="F56" s="173">
        <f ca="1">OFFSET($L$14,0,B56-Assumptions!$B$3)+E56</f>
        <v>0</v>
      </c>
      <c r="G56" s="234">
        <f>'Cost Recovery Timing'!S40</f>
        <v>0</v>
      </c>
      <c r="H56" s="165">
        <f>Assumptions!$B$23</f>
        <v>0.02</v>
      </c>
      <c r="I56" s="176">
        <f t="shared" si="13"/>
        <v>0</v>
      </c>
      <c r="J56" s="173">
        <f>(G56*I56*Assumptions!$B$28)+(G55*I55*Assumptions!$B$27)+(G54*I54*Assumptions!$B$26)</f>
        <v>1718644.511185064</v>
      </c>
      <c r="K56" s="172">
        <f t="shared" ca="1" si="14"/>
        <v>-3.9115548133850098E-8</v>
      </c>
      <c r="L56" s="173">
        <f t="shared" ca="1" si="15"/>
        <v>0</v>
      </c>
      <c r="M56" s="174">
        <f t="shared" ca="1" si="16"/>
        <v>-1.7586350440979004E-9</v>
      </c>
      <c r="N56" s="606">
        <f t="shared" ca="1" si="11"/>
        <v>-4.0874183177947998E-8</v>
      </c>
      <c r="O56" s="734"/>
      <c r="P56" s="735"/>
      <c r="Q56" s="735"/>
    </row>
    <row r="57" spans="1:17">
      <c r="A57" s="131"/>
      <c r="B57" s="154">
        <f t="shared" si="10"/>
        <v>2052</v>
      </c>
      <c r="C57" s="172">
        <f t="shared" ca="1" si="12"/>
        <v>-4.0874183177947998E-8</v>
      </c>
      <c r="D57" s="171">
        <v>0</v>
      </c>
      <c r="E57" s="171">
        <v>0</v>
      </c>
      <c r="F57" s="173">
        <f ca="1">OFFSET($L$14,0,B57-Assumptions!$B$3)+E57</f>
        <v>0</v>
      </c>
      <c r="G57" s="234">
        <f>'Cost Recovery Timing'!S41</f>
        <v>0</v>
      </c>
      <c r="H57" s="165">
        <f>Assumptions!$B$23</f>
        <v>0.02</v>
      </c>
      <c r="I57" s="176">
        <f t="shared" si="13"/>
        <v>0</v>
      </c>
      <c r="J57" s="173">
        <f>(G57*I57*Assumptions!$B$28)+(G56*I56*Assumptions!$B$27)+(G55*I55*Assumptions!$B$26)</f>
        <v>0</v>
      </c>
      <c r="K57" s="172">
        <f t="shared" ca="1" si="14"/>
        <v>-4.0874183177947998E-8</v>
      </c>
      <c r="L57" s="175">
        <f t="shared" ca="1" si="15"/>
        <v>0</v>
      </c>
      <c r="M57" s="174">
        <f t="shared" ca="1" si="16"/>
        <v>-1.8377032756805419E-9</v>
      </c>
      <c r="N57" s="195">
        <f t="shared" ca="1" si="11"/>
        <v>-4.2711886453628537E-8</v>
      </c>
      <c r="P57" s="42"/>
    </row>
    <row r="58" spans="1:17">
      <c r="A58" s="131"/>
      <c r="B58" s="154">
        <f t="shared" si="10"/>
        <v>2053</v>
      </c>
      <c r="C58" s="172">
        <f t="shared" ca="1" si="12"/>
        <v>-4.2711886453628537E-8</v>
      </c>
      <c r="D58" s="171">
        <v>0</v>
      </c>
      <c r="E58" s="171">
        <v>0</v>
      </c>
      <c r="F58" s="173">
        <f ca="1">OFFSET($L$14,0,B58-Assumptions!$B$3)+E58</f>
        <v>0</v>
      </c>
      <c r="G58" s="234">
        <f>'Cost Recovery Timing'!S42</f>
        <v>0</v>
      </c>
      <c r="H58" s="165">
        <f>Assumptions!$B$23</f>
        <v>0.02</v>
      </c>
      <c r="I58" s="176">
        <f t="shared" si="13"/>
        <v>0</v>
      </c>
      <c r="J58" s="173">
        <f>(G58*I58*Assumptions!$B$28)+(G57*I57*Assumptions!$B$27)+(G56*I56*Assumptions!$B$26)</f>
        <v>0</v>
      </c>
      <c r="K58" s="172">
        <f t="shared" ca="1" si="14"/>
        <v>-4.2711886453628537E-8</v>
      </c>
      <c r="L58" s="175">
        <f t="shared" ca="1" si="15"/>
        <v>0</v>
      </c>
      <c r="M58" s="174">
        <f t="shared" ca="1" si="16"/>
        <v>-1.9203264149551391E-9</v>
      </c>
      <c r="N58" s="195">
        <f t="shared" ca="1" si="11"/>
        <v>-4.4632212868583676E-8</v>
      </c>
      <c r="P58" s="42"/>
    </row>
    <row r="59" spans="1:17">
      <c r="A59" s="131"/>
      <c r="B59" s="154">
        <f t="shared" si="10"/>
        <v>2054</v>
      </c>
      <c r="C59" s="172">
        <f t="shared" ca="1" si="12"/>
        <v>-4.4632212868583676E-8</v>
      </c>
      <c r="D59" s="171">
        <v>0</v>
      </c>
      <c r="E59" s="171">
        <v>0</v>
      </c>
      <c r="F59" s="173">
        <f ca="1">OFFSET($L$14,0,B59-Assumptions!$B$3)+E59</f>
        <v>0</v>
      </c>
      <c r="G59" s="234">
        <f>'Cost Recovery Timing'!S43</f>
        <v>0</v>
      </c>
      <c r="H59" s="165">
        <f>Assumptions!$B$23</f>
        <v>0.02</v>
      </c>
      <c r="I59" s="176">
        <f t="shared" si="13"/>
        <v>0</v>
      </c>
      <c r="J59" s="173">
        <f>(G59*I59*Assumptions!$B$28)+(G58*I58*Assumptions!$B$27)+(G57*I57*Assumptions!$B$26)</f>
        <v>0</v>
      </c>
      <c r="K59" s="172">
        <f t="shared" ca="1" si="14"/>
        <v>-4.4632212868583676E-8</v>
      </c>
      <c r="L59" s="175">
        <f t="shared" ca="1" si="15"/>
        <v>0</v>
      </c>
      <c r="M59" s="174">
        <f t="shared" ca="1" si="16"/>
        <v>-2.0066642905715219E-9</v>
      </c>
      <c r="N59" s="195">
        <f t="shared" ca="1" si="11"/>
        <v>-4.6638877159155197E-8</v>
      </c>
    </row>
    <row r="60" spans="1:17">
      <c r="A60" s="131"/>
      <c r="B60" s="154">
        <f t="shared" si="10"/>
        <v>2055</v>
      </c>
      <c r="C60" s="172">
        <f t="shared" ca="1" si="12"/>
        <v>-4.6638877159155197E-8</v>
      </c>
      <c r="D60" s="171">
        <v>0</v>
      </c>
      <c r="E60" s="171">
        <v>0</v>
      </c>
      <c r="F60" s="173">
        <f ca="1">OFFSET($L$14,0,B60-Assumptions!$B$3)+E60</f>
        <v>0</v>
      </c>
      <c r="G60" s="234">
        <f>'Cost Recovery Timing'!S44</f>
        <v>0</v>
      </c>
      <c r="H60" s="165">
        <f>Assumptions!$B$23</f>
        <v>0.02</v>
      </c>
      <c r="I60" s="176">
        <f t="shared" si="13"/>
        <v>0</v>
      </c>
      <c r="J60" s="173">
        <f>(G60*I60*Assumptions!$B$28)+(G59*I59*Assumptions!$B$27)+(G58*I58*Assumptions!$B$26)</f>
        <v>0</v>
      </c>
      <c r="K60" s="172">
        <f t="shared" ca="1" si="14"/>
        <v>-4.6638877159155197E-8</v>
      </c>
      <c r="L60" s="175">
        <f t="shared" ca="1" si="15"/>
        <v>0</v>
      </c>
      <c r="M60" s="174">
        <f t="shared" ca="1" si="16"/>
        <v>-2.0968839170756175E-9</v>
      </c>
      <c r="N60" s="195">
        <f t="shared" ca="1" si="11"/>
        <v>-4.8735761076230815E-8</v>
      </c>
    </row>
    <row r="61" spans="1:17">
      <c r="A61" s="131"/>
      <c r="B61" s="154">
        <f t="shared" si="10"/>
        <v>2056</v>
      </c>
      <c r="C61" s="172">
        <f t="shared" ca="1" si="12"/>
        <v>-4.8735761076230815E-8</v>
      </c>
      <c r="D61" s="171">
        <v>0</v>
      </c>
      <c r="E61" s="171">
        <v>0</v>
      </c>
      <c r="F61" s="173">
        <f ca="1">OFFSET($L$14,0,B61-Assumptions!$B$3)+E61</f>
        <v>0</v>
      </c>
      <c r="G61" s="234">
        <f>'Cost Recovery Timing'!S45</f>
        <v>0</v>
      </c>
      <c r="H61" s="165">
        <f>Assumptions!$B$23</f>
        <v>0.02</v>
      </c>
      <c r="I61" s="176">
        <f t="shared" si="13"/>
        <v>0</v>
      </c>
      <c r="J61" s="173">
        <f>(G61*I61*Assumptions!$B$28)+(G60*I60*Assumptions!$B$27)+(G59*I59*Assumptions!$B$26)</f>
        <v>0</v>
      </c>
      <c r="K61" s="172">
        <f t="shared" ca="1" si="14"/>
        <v>-4.8735761076230815E-8</v>
      </c>
      <c r="L61" s="175">
        <f t="shared" ca="1" si="15"/>
        <v>0</v>
      </c>
      <c r="M61" s="174">
        <f t="shared" ca="1" si="16"/>
        <v>-2.1911598179873374E-9</v>
      </c>
      <c r="N61" s="195">
        <f t="shared" ca="1" si="11"/>
        <v>-5.0926920894218153E-8</v>
      </c>
    </row>
    <row r="62" spans="1:17">
      <c r="A62" s="131"/>
      <c r="B62" s="154">
        <f t="shared" si="10"/>
        <v>2057</v>
      </c>
      <c r="C62" s="172">
        <f t="shared" ca="1" si="12"/>
        <v>-5.0926920894218153E-8</v>
      </c>
      <c r="D62" s="171">
        <v>0</v>
      </c>
      <c r="E62" s="171">
        <v>0</v>
      </c>
      <c r="F62" s="173">
        <f ca="1">OFFSET($L$14,0,B62-Assumptions!$B$3)+E62</f>
        <v>0</v>
      </c>
      <c r="G62" s="234">
        <f>'Cost Recovery Timing'!S46</f>
        <v>0</v>
      </c>
      <c r="H62" s="165">
        <f>Assumptions!$B$23</f>
        <v>0.02</v>
      </c>
      <c r="I62" s="176">
        <f t="shared" si="13"/>
        <v>0</v>
      </c>
      <c r="J62" s="173">
        <f>(G62*I62*Assumptions!$B$28)+(G61*I61*Assumptions!$B$27)+(G60*I60*Assumptions!$B$26)</f>
        <v>0</v>
      </c>
      <c r="K62" s="172">
        <f t="shared" ca="1" si="14"/>
        <v>-5.0926920894218153E-8</v>
      </c>
      <c r="L62" s="175">
        <f t="shared" ca="1" si="15"/>
        <v>0</v>
      </c>
      <c r="M62" s="174">
        <f t="shared" ca="1" si="16"/>
        <v>-2.289674363404048E-9</v>
      </c>
      <c r="N62" s="195">
        <f t="shared" ca="1" si="11"/>
        <v>-5.3216595257622198E-8</v>
      </c>
    </row>
    <row r="63" spans="1:17">
      <c r="A63" s="131"/>
      <c r="B63" s="154">
        <f t="shared" si="10"/>
        <v>2058</v>
      </c>
      <c r="C63" s="172">
        <f t="shared" ca="1" si="12"/>
        <v>-5.3216595257622198E-8</v>
      </c>
      <c r="D63" s="171">
        <v>0</v>
      </c>
      <c r="E63" s="171">
        <v>0</v>
      </c>
      <c r="F63" s="173">
        <f ca="1">OFFSET($L$14,0,B63-Assumptions!$B$3)+E63</f>
        <v>0</v>
      </c>
      <c r="G63" s="234">
        <f>'Cost Recovery Timing'!S47</f>
        <v>0</v>
      </c>
      <c r="H63" s="165">
        <f>Assumptions!$B$23</f>
        <v>0.02</v>
      </c>
      <c r="I63" s="176">
        <f t="shared" si="13"/>
        <v>0</v>
      </c>
      <c r="J63" s="173">
        <f>(G63*I63*Assumptions!$B$28)+(G62*I62*Assumptions!$B$27)+(G61*I61*Assumptions!$B$26)</f>
        <v>0</v>
      </c>
      <c r="K63" s="172">
        <f t="shared" ca="1" si="14"/>
        <v>-5.3216595257622198E-8</v>
      </c>
      <c r="L63" s="175">
        <f t="shared" ca="1" si="15"/>
        <v>0</v>
      </c>
      <c r="M63" s="174">
        <f t="shared" ca="1" si="16"/>
        <v>-2.3926181227826942E-9</v>
      </c>
      <c r="N63" s="195">
        <f t="shared" ca="1" si="11"/>
        <v>-5.5609213380404889E-8</v>
      </c>
    </row>
    <row r="64" spans="1:17">
      <c r="A64" s="131"/>
      <c r="B64" s="154">
        <f t="shared" si="10"/>
        <v>2059</v>
      </c>
      <c r="C64" s="172">
        <f t="shared" ca="1" si="12"/>
        <v>-5.5609213380404889E-8</v>
      </c>
      <c r="D64" s="171">
        <v>0</v>
      </c>
      <c r="E64" s="171">
        <v>0</v>
      </c>
      <c r="F64" s="173">
        <f ca="1">OFFSET($L$14,0,B64-Assumptions!$B$3)+E64</f>
        <v>0</v>
      </c>
      <c r="G64" s="234">
        <f>'Cost Recovery Timing'!S48</f>
        <v>0</v>
      </c>
      <c r="H64" s="165">
        <f>Assumptions!$B$23</f>
        <v>0.02</v>
      </c>
      <c r="I64" s="176">
        <f t="shared" si="13"/>
        <v>0</v>
      </c>
      <c r="J64" s="173">
        <f>(G64*I64*Assumptions!$B$28)+(G63*I63*Assumptions!$B$27)+(G62*I62*Assumptions!$B$26)</f>
        <v>0</v>
      </c>
      <c r="K64" s="172">
        <f t="shared" ca="1" si="14"/>
        <v>-5.5609213380404889E-8</v>
      </c>
      <c r="L64" s="175">
        <f t="shared" ca="1" si="15"/>
        <v>0</v>
      </c>
      <c r="M64" s="174">
        <f t="shared" ca="1" si="16"/>
        <v>-2.5001902335830038E-9</v>
      </c>
      <c r="N64" s="195">
        <f t="shared" ca="1" si="11"/>
        <v>-5.8109403613987893E-8</v>
      </c>
    </row>
    <row r="65" spans="1:14" ht="15" thickBot="1">
      <c r="A65" s="131"/>
      <c r="B65" s="155">
        <f t="shared" si="10"/>
        <v>2060</v>
      </c>
      <c r="C65" s="177">
        <f t="shared" ca="1" si="12"/>
        <v>-5.8109403613987893E-8</v>
      </c>
      <c r="D65" s="223">
        <v>0</v>
      </c>
      <c r="E65" s="223">
        <v>0</v>
      </c>
      <c r="F65" s="193">
        <f ca="1">OFFSET($L$14,0,B65-Assumptions!$B$3)+E65</f>
        <v>0</v>
      </c>
      <c r="G65" s="551">
        <f>'Cost Recovery Timing'!S49</f>
        <v>0</v>
      </c>
      <c r="H65" s="168">
        <f>Assumptions!$B$23</f>
        <v>0.02</v>
      </c>
      <c r="I65" s="178">
        <f t="shared" si="13"/>
        <v>0</v>
      </c>
      <c r="J65" s="193">
        <f>(G65*I65*Assumptions!$B$28)+(G64*I64*Assumptions!$B$27)+(G63*I63*Assumptions!$B$26)</f>
        <v>0</v>
      </c>
      <c r="K65" s="177">
        <f t="shared" ca="1" si="14"/>
        <v>-5.8109403613987893E-8</v>
      </c>
      <c r="L65" s="194">
        <f t="shared" ca="1" si="15"/>
        <v>0</v>
      </c>
      <c r="M65" s="196">
        <f t="shared" ca="1" si="16"/>
        <v>-2.6125987864848956E-9</v>
      </c>
      <c r="N65" s="197">
        <f t="shared" ca="1" si="11"/>
        <v>-6.0722002400472783E-8</v>
      </c>
    </row>
    <row r="66" spans="1:14">
      <c r="B66" s="95"/>
      <c r="C66" s="97"/>
      <c r="D66" s="98"/>
      <c r="E66" s="99"/>
      <c r="F66" s="100"/>
      <c r="G66" s="98"/>
      <c r="H66" s="98"/>
      <c r="I66" s="101"/>
      <c r="J66" s="101"/>
      <c r="K66" s="102"/>
      <c r="L66" s="103"/>
    </row>
    <row r="67" spans="1:14">
      <c r="B67" s="95"/>
      <c r="C67" s="97"/>
      <c r="D67" s="98"/>
      <c r="E67" s="99"/>
      <c r="F67" s="100"/>
      <c r="G67" s="98"/>
      <c r="H67" s="98"/>
      <c r="I67" s="101"/>
      <c r="J67" s="101"/>
      <c r="K67" s="102"/>
      <c r="L67" s="103"/>
    </row>
    <row r="68" spans="1:14">
      <c r="B68" s="95"/>
      <c r="C68" s="97"/>
      <c r="D68" s="164"/>
      <c r="E68" s="164"/>
      <c r="F68" s="100"/>
      <c r="G68" s="98"/>
      <c r="H68" s="98"/>
      <c r="I68" s="101"/>
      <c r="J68" s="101"/>
      <c r="K68" s="102"/>
      <c r="L68" s="103"/>
    </row>
    <row r="69" spans="1:14">
      <c r="B69" s="95"/>
      <c r="C69" s="97"/>
      <c r="D69" s="98"/>
      <c r="E69" s="99"/>
      <c r="F69" s="100"/>
      <c r="G69" s="98"/>
      <c r="H69" s="98"/>
      <c r="I69" s="101"/>
      <c r="J69" s="101"/>
      <c r="K69" s="102"/>
      <c r="L69" s="103"/>
    </row>
    <row r="70" spans="1:14">
      <c r="B70" s="95"/>
      <c r="C70" s="97"/>
      <c r="D70" s="98"/>
      <c r="E70" s="99"/>
      <c r="F70" s="100"/>
      <c r="G70" s="98"/>
      <c r="H70" s="98"/>
      <c r="I70" s="101"/>
      <c r="J70" s="101"/>
      <c r="K70" s="102"/>
      <c r="L70" s="103"/>
    </row>
    <row r="71" spans="1:14">
      <c r="B71" s="95"/>
      <c r="C71" s="97"/>
      <c r="D71" s="98"/>
      <c r="E71" s="99"/>
      <c r="F71" s="100"/>
      <c r="G71" s="98"/>
      <c r="H71" s="98"/>
      <c r="I71" s="101"/>
      <c r="J71" s="101"/>
      <c r="K71" s="102"/>
      <c r="L71" s="103"/>
    </row>
    <row r="72" spans="1:14">
      <c r="B72" s="95"/>
      <c r="C72" s="97"/>
      <c r="D72" s="98"/>
      <c r="E72" s="99"/>
      <c r="F72" s="100"/>
      <c r="G72" s="98"/>
      <c r="H72" s="98"/>
      <c r="I72" s="101"/>
      <c r="J72" s="101"/>
      <c r="K72" s="102"/>
      <c r="L72" s="103"/>
    </row>
    <row r="73" spans="1:14">
      <c r="B73" s="95"/>
      <c r="C73" s="97"/>
      <c r="D73" s="98"/>
      <c r="E73" s="99"/>
      <c r="F73" s="100"/>
      <c r="G73" s="98"/>
      <c r="H73" s="98"/>
      <c r="I73" s="101"/>
      <c r="J73" s="101"/>
      <c r="K73" s="102"/>
      <c r="L73" s="103"/>
    </row>
    <row r="74" spans="1:14">
      <c r="B74" s="95"/>
      <c r="C74" s="97"/>
      <c r="D74" s="98"/>
      <c r="E74" s="99"/>
      <c r="F74" s="100"/>
      <c r="G74" s="98"/>
      <c r="H74" s="98"/>
      <c r="I74" s="101"/>
      <c r="J74" s="101"/>
      <c r="K74" s="102"/>
      <c r="L74" s="103"/>
    </row>
    <row r="75" spans="1:14">
      <c r="B75" s="95"/>
      <c r="C75" s="97"/>
      <c r="D75" s="98"/>
      <c r="E75" s="99"/>
      <c r="F75" s="100"/>
      <c r="G75" s="98"/>
      <c r="H75" s="98"/>
      <c r="I75" s="101"/>
      <c r="J75" s="101"/>
      <c r="K75" s="102"/>
      <c r="L75" s="103"/>
    </row>
    <row r="76" spans="1:14">
      <c r="B76" s="95"/>
      <c r="C76" s="97"/>
      <c r="D76" s="98"/>
      <c r="E76" s="99"/>
      <c r="F76" s="100"/>
      <c r="G76" s="98"/>
      <c r="H76" s="98"/>
      <c r="I76" s="101"/>
      <c r="J76" s="101"/>
      <c r="K76" s="102"/>
    </row>
  </sheetData>
  <dataConsolidate/>
  <mergeCells count="20">
    <mergeCell ref="K8:K9"/>
    <mergeCell ref="C9:C10"/>
    <mergeCell ref="D9:D10"/>
    <mergeCell ref="E9:E10"/>
    <mergeCell ref="J21:J22"/>
    <mergeCell ref="K21:K23"/>
    <mergeCell ref="B3:J3"/>
    <mergeCell ref="B4:J4"/>
    <mergeCell ref="A8:A10"/>
    <mergeCell ref="B8:B10"/>
    <mergeCell ref="C8:E8"/>
    <mergeCell ref="F8:F9"/>
    <mergeCell ref="I8:I10"/>
    <mergeCell ref="J8:J10"/>
    <mergeCell ref="O54:Q56"/>
    <mergeCell ref="L21:M21"/>
    <mergeCell ref="D21:D22"/>
    <mergeCell ref="E21:E22"/>
    <mergeCell ref="H21:H24"/>
    <mergeCell ref="L22:M2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87BD8-F489-4A45-8DD0-979582C68DA5}">
  <sheetPr codeName="Sheet52">
    <tabColor theme="4" tint="0.39997558519241921"/>
    <pageSetUpPr fitToPage="1"/>
  </sheetPr>
  <dimension ref="B2:M55"/>
  <sheetViews>
    <sheetView showGridLines="0" workbookViewId="0">
      <selection activeCell="E24" sqref="E24"/>
    </sheetView>
  </sheetViews>
  <sheetFormatPr defaultColWidth="9.109375" defaultRowHeight="12"/>
  <cols>
    <col min="1" max="1" width="9.109375" style="51"/>
    <col min="2" max="2" width="8" style="51" bestFit="1" customWidth="1"/>
    <col min="3" max="3" width="41.21875" style="51" customWidth="1"/>
    <col min="4" max="4" width="16.5546875" style="51" bestFit="1" customWidth="1"/>
    <col min="5" max="10" width="13.6640625" style="51" customWidth="1"/>
    <col min="11" max="11" width="18.6640625" style="51" customWidth="1"/>
    <col min="12" max="13" width="13.6640625" style="51" customWidth="1"/>
    <col min="14" max="16384" width="9.109375" style="51"/>
  </cols>
  <sheetData>
    <row r="2" spans="2:13">
      <c r="B2" s="53"/>
    </row>
    <row r="3" spans="2:13" s="54" customFormat="1" ht="29.1" customHeight="1" thickBot="1">
      <c r="B3" s="64" t="s">
        <v>161</v>
      </c>
      <c r="C3" s="51"/>
      <c r="D3" s="51"/>
      <c r="E3" s="51"/>
      <c r="F3" s="51"/>
      <c r="G3" s="51"/>
      <c r="H3" s="51"/>
      <c r="I3" s="51"/>
      <c r="J3" s="51"/>
      <c r="K3" s="51"/>
      <c r="L3" s="51"/>
      <c r="M3" s="51"/>
    </row>
    <row r="4" spans="2:13" s="54" customFormat="1" ht="29.1" customHeight="1" thickBot="1">
      <c r="B4" s="729" t="s">
        <v>31</v>
      </c>
      <c r="C4" s="730"/>
      <c r="D4" s="731" t="s">
        <v>73</v>
      </c>
      <c r="E4" s="730"/>
      <c r="F4" s="731" t="s">
        <v>2</v>
      </c>
      <c r="G4" s="730"/>
      <c r="H4" s="731" t="s">
        <v>55</v>
      </c>
      <c r="I4" s="730"/>
      <c r="J4" s="731" t="s">
        <v>56</v>
      </c>
      <c r="K4" s="730"/>
      <c r="L4" s="300" t="s">
        <v>94</v>
      </c>
      <c r="M4" s="324"/>
    </row>
    <row r="5" spans="2:13" s="54" customFormat="1" ht="36.75" customHeight="1">
      <c r="B5" s="301" t="s">
        <v>59</v>
      </c>
      <c r="C5" s="302" t="s">
        <v>60</v>
      </c>
      <c r="D5" s="303" t="s">
        <v>68</v>
      </c>
      <c r="E5" s="303" t="s">
        <v>69</v>
      </c>
      <c r="F5" s="303" t="s">
        <v>4</v>
      </c>
      <c r="G5" s="303" t="s">
        <v>5</v>
      </c>
      <c r="H5" s="304" t="s">
        <v>53</v>
      </c>
      <c r="I5" s="304" t="s">
        <v>54</v>
      </c>
      <c r="J5" s="305" t="s">
        <v>129</v>
      </c>
      <c r="K5" s="305" t="s">
        <v>130</v>
      </c>
      <c r="L5" s="305" t="s">
        <v>57</v>
      </c>
      <c r="M5" s="306" t="s">
        <v>58</v>
      </c>
    </row>
    <row r="6" spans="2:13" s="54" customFormat="1" ht="28.2" customHeight="1">
      <c r="B6" s="307" t="s">
        <v>67</v>
      </c>
      <c r="C6" s="308" t="str">
        <f>INDEX('Project List '!$C$6:$C$21, MATCH(B6,'Project List '!$B$6:$B$21,0))</f>
        <v>South Okotoks Reservoir Phase 1 (3,660 m3)</v>
      </c>
      <c r="D6" s="54" t="str">
        <f>INDEX('Project List '!$E$6:$E$21, MATCH(B6,'Project List '!$B$6:$B$21,0))</f>
        <v>Town</v>
      </c>
      <c r="E6" s="309" t="str">
        <f>INDEX('Project List '!$F$6:$F$21, MATCH(B6,'Project List '!$B$6:$B$21,0))</f>
        <v>OSL</v>
      </c>
      <c r="F6" s="309">
        <f>INDEX('Project List '!$G$6:$G$21, MATCH(B6,'Project List '!$B$6:$B$21,0))</f>
        <v>2027</v>
      </c>
      <c r="G6" s="309">
        <f>INDEX('Project List '!$H$6:$H$21, MATCH(B6,'Project List '!$B$6:$B$21,0))</f>
        <v>2030</v>
      </c>
      <c r="H6" s="273">
        <f>INDEX('Project List '!$I$6:$I$21, MATCH(B6,'Project List '!$B$6:$B$21,0))</f>
        <v>1</v>
      </c>
      <c r="I6" s="310">
        <f>INDEX('Project List '!$J$6:$J$21, MATCH(B6,'Project List '!$B$6:$B$21,0))</f>
        <v>0</v>
      </c>
      <c r="J6" s="275">
        <f>INDEX('Project List '!$X$6:$X$21, MATCH(B6,'Project List '!$B$6:$B$21,0))</f>
        <v>4244477.9106591772</v>
      </c>
      <c r="K6" s="275">
        <f>INDEX('Project List '!$AH$6:$AH$21, MATCH(B6,'Project List '!$B$6:$B$21,0))</f>
        <v>4244477.9106591772</v>
      </c>
      <c r="L6" s="607">
        <f>INDEX('Project List '!$AI$6:$AI$21, MATCH(B6,'Project List '!$B$6:$B$21,0))</f>
        <v>4244477.9106591772</v>
      </c>
      <c r="M6" s="325">
        <f>INDEX('Project List '!$AJ$6:$AJ$21, MATCH(B6,'Project List '!$B$6:$B$21,0))</f>
        <v>0</v>
      </c>
    </row>
    <row r="7" spans="2:13" s="54" customFormat="1" ht="28.2" customHeight="1">
      <c r="B7" s="307">
        <v>12</v>
      </c>
      <c r="C7" s="308" t="str">
        <f>INDEX('Project List '!$C$6:$C$21, MATCH(B7,'Project List '!$B$6:$B$21,0))</f>
        <v>South Okotoks Reservoir Supply Pump Station</v>
      </c>
      <c r="D7" s="309" t="str">
        <f>INDEX('Project List '!$E$6:$E$21, MATCH(B7,'Project List '!$B$6:$B$21,0))</f>
        <v>Others</v>
      </c>
      <c r="E7" s="309" t="str">
        <f>INDEX('Project List '!$F$6:$F$21, MATCH(B7,'Project List '!$B$6:$B$21,0))</f>
        <v>OSL</v>
      </c>
      <c r="F7" s="309">
        <f>INDEX('Project List '!$G$6:$G$21, MATCH(B7,'Project List '!$B$6:$B$21,0))</f>
        <v>2026</v>
      </c>
      <c r="G7" s="309">
        <f>INDEX('Project List '!$H$6:$H$21, MATCH(B7,'Project List '!$B$6:$B$21,0))</f>
        <v>2028</v>
      </c>
      <c r="H7" s="273">
        <f>INDEX('Project List '!$I$6:$I$21, MATCH(B7,'Project List '!$B$6:$B$21,0))</f>
        <v>0.56000000000000005</v>
      </c>
      <c r="I7" s="310">
        <f>INDEX('Project List '!$J$6:$J$21, MATCH(B7,'Project List '!$B$6:$B$21,0))</f>
        <v>0.43999999999999995</v>
      </c>
      <c r="J7" s="275">
        <f>INDEX('Project List '!$X$6:$X$21, MATCH(B7,'Project List '!$B$6:$B$21,0))</f>
        <v>4139298.3398437481</v>
      </c>
      <c r="K7" s="275">
        <f>INDEX('Project List '!$AH$6:$AH$21, MATCH(B7,'Project List '!$B$6:$B$21,0))</f>
        <v>4139298.3398437481</v>
      </c>
      <c r="L7" s="607">
        <f>INDEX('Project List '!$AI$6:$AI$21, MATCH(B7,'Project List '!$B$6:$B$21,0))</f>
        <v>2318007.0703124991</v>
      </c>
      <c r="M7" s="325">
        <f>INDEX('Project List '!$AJ$6:$AJ$21, MATCH(B7,'Project List '!$B$6:$B$21,0))</f>
        <v>1821291.2695312491</v>
      </c>
    </row>
    <row r="8" spans="2:13" s="54" customFormat="1" ht="28.2" customHeight="1">
      <c r="B8" s="307" t="s">
        <v>109</v>
      </c>
      <c r="C8" s="308" t="str">
        <f>INDEX('Project List '!$C$6:$C$21, MATCH(B8,'Project List '!$B$6:$B$21,0))</f>
        <v>450 mm South Okotoks Twin Supply Mains</v>
      </c>
      <c r="D8" s="309" t="str">
        <f>INDEX('Project List '!$E$6:$E$21, MATCH(B8,'Project List '!$B$6:$B$21,0))</f>
        <v>Town</v>
      </c>
      <c r="E8" s="309" t="str">
        <f>INDEX('Project List '!$F$6:$F$21, MATCH(B8,'Project List '!$B$6:$B$21,0))</f>
        <v xml:space="preserve">OSL </v>
      </c>
      <c r="F8" s="309">
        <f>INDEX('Project List '!$G$6:$G$21, MATCH(B8,'Project List '!$B$6:$B$21,0))</f>
        <v>2026</v>
      </c>
      <c r="G8" s="309">
        <f>INDEX('Project List '!$H$6:$H$21, MATCH(B8,'Project List '!$B$6:$B$21,0))</f>
        <v>2026</v>
      </c>
      <c r="H8" s="273">
        <f>INDEX('Project List '!$I$6:$I$21, MATCH(B8,'Project List '!$B$6:$B$21,0))</f>
        <v>0.71099999999999997</v>
      </c>
      <c r="I8" s="310">
        <f>INDEX('Project List '!$J$6:$J$21, MATCH(B8,'Project List '!$B$6:$B$21,0))</f>
        <v>0.28900000000000003</v>
      </c>
      <c r="J8" s="275">
        <f>INDEX('Project List '!$X$6:$X$21, MATCH(B8,'Project List '!$B$6:$B$21,0))</f>
        <v>3850000</v>
      </c>
      <c r="K8" s="275">
        <f>INDEX('Project List '!$AH$6:$AH$21, MATCH(B8,'Project List '!$B$6:$B$21,0))</f>
        <v>3850000</v>
      </c>
      <c r="L8" s="607">
        <f>INDEX('Project List '!$AI$6:$AI$21, MATCH(B8,'Project List '!$B$6:$B$21,0))</f>
        <v>2737350</v>
      </c>
      <c r="M8" s="325">
        <f>INDEX('Project List '!$AJ$6:$AJ$21, MATCH(B8,'Project List '!$B$6:$B$21,0))</f>
        <v>1112650.0000000002</v>
      </c>
    </row>
    <row r="9" spans="2:13" s="54" customFormat="1" ht="28.2" customHeight="1">
      <c r="B9" s="307" t="s">
        <v>111</v>
      </c>
      <c r="C9" s="308" t="str">
        <f>INDEX('Project List '!$C$6:$C$21, MATCH(B9,'Project List '!$B$6:$B$21,0))</f>
        <v>450 mm South Okotoks Twin Supply Mains</v>
      </c>
      <c r="D9" s="309" t="str">
        <f>INDEX('Project List '!$E$6:$E$21, MATCH(B9,'Project List '!$B$6:$B$21,0))</f>
        <v>Town</v>
      </c>
      <c r="E9" s="309" t="str">
        <f>INDEX('Project List '!$F$6:$F$21, MATCH(B9,'Project List '!$B$6:$B$21,0))</f>
        <v>OSL</v>
      </c>
      <c r="F9" s="309">
        <f>INDEX('Project List '!$G$6:$G$21, MATCH(B9,'Project List '!$B$6:$B$21,0))</f>
        <v>2027</v>
      </c>
      <c r="G9" s="309">
        <f>INDEX('Project List '!$H$6:$H$21, MATCH(B9,'Project List '!$B$6:$B$21,0))</f>
        <v>2027</v>
      </c>
      <c r="H9" s="273">
        <f>INDEX('Project List '!$I$6:$I$21, MATCH(B9,'Project List '!$B$6:$B$21,0))</f>
        <v>0.71099999999999997</v>
      </c>
      <c r="I9" s="310">
        <f>INDEX('Project List '!$J$6:$J$21, MATCH(B9,'Project List '!$B$6:$B$21,0))</f>
        <v>0.28900000000000003</v>
      </c>
      <c r="J9" s="275">
        <f>INDEX('Project List '!$X$6:$X$21, MATCH(B9,'Project List '!$B$6:$B$21,0))</f>
        <v>926725</v>
      </c>
      <c r="K9" s="275">
        <f>INDEX('Project List '!$AH$6:$AH$21, MATCH(B9,'Project List '!$B$6:$B$21,0))</f>
        <v>926725</v>
      </c>
      <c r="L9" s="607">
        <f>INDEX('Project List '!$AI$6:$AI$21, MATCH(B9,'Project List '!$B$6:$B$21,0))</f>
        <v>658901.47499999998</v>
      </c>
      <c r="M9" s="325">
        <f>INDEX('Project List '!$AJ$6:$AJ$21, MATCH(B9,'Project List '!$B$6:$B$21,0))</f>
        <v>267823.52500000002</v>
      </c>
    </row>
    <row r="10" spans="2:13" s="54" customFormat="1" ht="28.2" customHeight="1" thickBot="1">
      <c r="B10" s="307" t="s">
        <v>270</v>
      </c>
      <c r="C10" s="308" t="str">
        <f>INDEX('Project List '!$C$6:$C$21, MATCH(B10,'Project List '!$B$6:$B$21,0))</f>
        <v>450 mm South Okotoks Twin Supply Mains</v>
      </c>
      <c r="D10" s="309" t="str">
        <f>INDEX('Project List '!$E$6:$E$21, MATCH(B10,'Project List '!$B$6:$B$21,0))</f>
        <v>Others</v>
      </c>
      <c r="E10" s="309" t="str">
        <f>INDEX('Project List '!$F$6:$F$21, MATCH(B10,'Project List '!$B$6:$B$21,0))</f>
        <v>OSL</v>
      </c>
      <c r="F10" s="309">
        <f>INDEX('Project List '!$G$6:$G$21, MATCH(B10,'Project List '!$B$6:$B$21,0))</f>
        <v>2027</v>
      </c>
      <c r="G10" s="309">
        <f>INDEX('Project List '!$H$6:$H$21, MATCH(B10,'Project List '!$B$6:$B$21,0))</f>
        <v>2028</v>
      </c>
      <c r="H10" s="273">
        <f>INDEX('Project List '!$I$6:$I$21, MATCH(B10,'Project List '!$B$6:$B$21,0))</f>
        <v>0.71099999999999997</v>
      </c>
      <c r="I10" s="310">
        <f>INDEX('Project List '!$J$6:$J$21, MATCH(B10,'Project List '!$B$6:$B$21,0))</f>
        <v>0.28900000000000003</v>
      </c>
      <c r="J10" s="275">
        <f>INDEX('Project List '!$X$6:$X$21, MATCH(B10,'Project List '!$B$6:$B$21,0))</f>
        <v>486155.5</v>
      </c>
      <c r="K10" s="275">
        <f>INDEX('Project List '!$AH$6:$AH$21, MATCH(B10,'Project List '!$B$6:$B$21,0))</f>
        <v>486155.5</v>
      </c>
      <c r="L10" s="607">
        <f>INDEX('Project List '!$AI$6:$AI$21, MATCH(B10,'Project List '!$B$6:$B$21,0))</f>
        <v>345656.56049999996</v>
      </c>
      <c r="M10" s="325">
        <f>INDEX('Project List '!$AJ$6:$AJ$21, MATCH(B10,'Project List '!$B$6:$B$21,0))</f>
        <v>140498.93950000001</v>
      </c>
    </row>
    <row r="11" spans="2:13" s="54" customFormat="1" ht="16.95" customHeight="1" thickBot="1">
      <c r="B11" s="621"/>
      <c r="C11" s="622"/>
      <c r="D11" s="623"/>
      <c r="E11" s="623"/>
      <c r="F11" s="623"/>
      <c r="G11" s="623"/>
      <c r="H11" s="624"/>
      <c r="I11" s="624"/>
      <c r="J11" s="625">
        <f>SUM(J6:J10)</f>
        <v>13646656.750502925</v>
      </c>
      <c r="K11" s="625"/>
      <c r="L11" s="625">
        <f>SUM(L6:L10)</f>
        <v>10304393.016471675</v>
      </c>
      <c r="M11" s="626">
        <f>SUM(M6:M10)</f>
        <v>3342263.7340312488</v>
      </c>
    </row>
    <row r="12" spans="2:13" s="54" customFormat="1" ht="16.2" customHeight="1">
      <c r="B12" s="59"/>
      <c r="C12" s="60"/>
      <c r="D12" s="59"/>
      <c r="E12" s="59"/>
      <c r="F12" s="59"/>
      <c r="G12" s="59"/>
      <c r="H12" s="61"/>
      <c r="I12" s="61"/>
      <c r="J12" s="61"/>
      <c r="K12" s="61"/>
      <c r="L12" s="67"/>
      <c r="M12" s="59"/>
    </row>
    <row r="13" spans="2:13" s="54" customFormat="1" ht="16.2" hidden="1" customHeight="1">
      <c r="B13" s="59"/>
      <c r="C13" s="60"/>
      <c r="D13" s="59"/>
      <c r="E13" s="59"/>
      <c r="F13" s="59"/>
      <c r="G13" s="59"/>
      <c r="H13" s="61"/>
      <c r="I13" s="61"/>
      <c r="J13" s="61"/>
      <c r="K13" s="61"/>
      <c r="L13" s="67"/>
      <c r="M13" s="59"/>
    </row>
    <row r="14" spans="2:13" hidden="1">
      <c r="B14" s="50" t="s">
        <v>107</v>
      </c>
      <c r="D14" s="55"/>
      <c r="E14" s="55"/>
    </row>
    <row r="15" spans="2:13" hidden="1">
      <c r="B15" s="59" t="s">
        <v>59</v>
      </c>
      <c r="C15" s="60" t="s">
        <v>60</v>
      </c>
      <c r="D15" s="61" t="s">
        <v>158</v>
      </c>
      <c r="E15" s="756" t="s">
        <v>157</v>
      </c>
      <c r="F15" s="756"/>
    </row>
    <row r="16" spans="2:13" hidden="1">
      <c r="B16" s="54" t="s">
        <v>67</v>
      </c>
      <c r="C16" s="55" t="s">
        <v>97</v>
      </c>
      <c r="D16" s="127"/>
      <c r="E16" s="766"/>
      <c r="F16" s="766"/>
    </row>
    <row r="17" spans="2:10" hidden="1">
      <c r="B17" s="54">
        <v>12</v>
      </c>
      <c r="C17" s="55" t="s">
        <v>96</v>
      </c>
      <c r="D17" s="127"/>
      <c r="E17" s="766"/>
      <c r="F17" s="766"/>
    </row>
    <row r="18" spans="2:10" hidden="1">
      <c r="B18" s="54" t="s">
        <v>109</v>
      </c>
      <c r="C18" s="55" t="str">
        <f>INDEX('Project List '!$C$6:$C$21, MATCH(B18,'Project List '!$B$6:$B$21,0))</f>
        <v>450 mm South Okotoks Twin Supply Mains</v>
      </c>
      <c r="D18" s="127"/>
      <c r="E18" s="766"/>
      <c r="F18" s="766"/>
    </row>
    <row r="19" spans="2:10" ht="12.6" hidden="1" thickBot="1">
      <c r="B19" s="57" t="s">
        <v>111</v>
      </c>
      <c r="C19" s="58" t="str">
        <f>INDEX('Project List '!$C$6:$C$21, MATCH(B19,'Project List '!$B$6:$B$21,0))</f>
        <v>450 mm South Okotoks Twin Supply Mains</v>
      </c>
      <c r="D19" s="128"/>
      <c r="E19" s="765"/>
      <c r="F19" s="765"/>
    </row>
    <row r="20" spans="2:10" ht="12.6" hidden="1" thickTop="1">
      <c r="D20" s="117">
        <f>SUM(D16:D19)</f>
        <v>0</v>
      </c>
      <c r="E20" s="758">
        <f>SUM(E16:E19)</f>
        <v>0</v>
      </c>
      <c r="F20" s="758"/>
    </row>
    <row r="21" spans="2:10" hidden="1">
      <c r="D21" s="55"/>
      <c r="E21" s="55"/>
    </row>
    <row r="27" spans="2:10">
      <c r="F27" s="52"/>
      <c r="G27" s="62"/>
    </row>
    <row r="28" spans="2:10">
      <c r="G28" s="105"/>
      <c r="J28" s="68"/>
    </row>
    <row r="29" spans="2:10">
      <c r="G29" s="105"/>
      <c r="J29" s="68"/>
    </row>
    <row r="30" spans="2:10">
      <c r="J30" s="68"/>
    </row>
    <row r="31" spans="2:10">
      <c r="J31" s="68"/>
    </row>
    <row r="42" spans="6:7">
      <c r="F42" s="50"/>
      <c r="G42" s="50"/>
    </row>
    <row r="43" spans="6:7">
      <c r="F43" s="142"/>
    </row>
    <row r="44" spans="6:7">
      <c r="F44" s="142"/>
    </row>
    <row r="45" spans="6:7">
      <c r="F45" s="66"/>
      <c r="G45" s="143"/>
    </row>
    <row r="50" spans="4:6">
      <c r="F50" s="142"/>
    </row>
    <row r="51" spans="4:6">
      <c r="D51" s="50"/>
      <c r="E51" s="50"/>
      <c r="F51" s="50"/>
    </row>
    <row r="52" spans="4:6">
      <c r="E52" s="144"/>
      <c r="F52" s="144"/>
    </row>
    <row r="53" spans="4:6">
      <c r="E53" s="144"/>
      <c r="F53" s="144"/>
    </row>
    <row r="54" spans="4:6">
      <c r="E54" s="144"/>
      <c r="F54" s="144"/>
    </row>
    <row r="55" spans="4:6">
      <c r="E55" s="144"/>
      <c r="F55" s="144"/>
    </row>
  </sheetData>
  <mergeCells count="11">
    <mergeCell ref="E15:F15"/>
    <mergeCell ref="E19:F19"/>
    <mergeCell ref="E20:F20"/>
    <mergeCell ref="E18:F18"/>
    <mergeCell ref="E17:F17"/>
    <mergeCell ref="E16:F16"/>
    <mergeCell ref="J4:K4"/>
    <mergeCell ref="B4:C4"/>
    <mergeCell ref="D4:E4"/>
    <mergeCell ref="F4:G4"/>
    <mergeCell ref="H4:I4"/>
  </mergeCells>
  <pageMargins left="0.25" right="0.25" top="0.75" bottom="0.75" header="0.3" footer="0.3"/>
  <pageSetup paperSize="4" scale="3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907CC-95E3-4601-8FD1-C34510AF4B80}">
  <sheetPr codeName="Sheet67">
    <tabColor rgb="FF0070C0"/>
  </sheetPr>
  <dimension ref="A2:BU77"/>
  <sheetViews>
    <sheetView showGridLines="0" topLeftCell="B3" zoomScale="70" zoomScaleNormal="70" workbookViewId="0">
      <selection activeCell="I71" sqref="I71"/>
    </sheetView>
  </sheetViews>
  <sheetFormatPr defaultColWidth="9.109375" defaultRowHeight="14.4"/>
  <cols>
    <col min="1" max="1" width="39.5546875" customWidth="1"/>
    <col min="2" max="2" width="69.5546875" customWidth="1"/>
    <col min="3" max="3" width="16.6640625" customWidth="1"/>
    <col min="4" max="4" width="19.5546875" customWidth="1"/>
    <col min="5" max="5" width="22.44140625" customWidth="1"/>
    <col min="6" max="6" width="25.44140625" customWidth="1"/>
    <col min="7" max="9" width="23.109375" style="1" customWidth="1"/>
    <col min="10" max="12" width="25.109375" customWidth="1"/>
    <col min="13" max="13" width="18.6640625" customWidth="1"/>
    <col min="14" max="14" width="20.109375" customWidth="1"/>
    <col min="15" max="15" width="21" customWidth="1"/>
    <col min="16" max="16" width="27.88671875" customWidth="1"/>
    <col min="17" max="17" width="31" customWidth="1"/>
    <col min="18" max="18" width="20.109375" customWidth="1"/>
    <col min="19" max="19" width="17.88671875" customWidth="1"/>
    <col min="20" max="20" width="18.21875" customWidth="1"/>
    <col min="21" max="21" width="16.88671875" customWidth="1"/>
    <col min="22" max="22" width="20" customWidth="1"/>
    <col min="23" max="23" width="18.21875" customWidth="1"/>
    <col min="24" max="24" width="19.5546875" customWidth="1"/>
    <col min="25" max="25" width="18.6640625" customWidth="1"/>
    <col min="26" max="26" width="20" customWidth="1"/>
    <col min="27" max="27" width="17.109375" customWidth="1"/>
    <col min="28" max="28" width="16.44140625" customWidth="1"/>
    <col min="29" max="29" width="15.44140625" customWidth="1"/>
    <col min="30" max="30" width="16" customWidth="1"/>
    <col min="31" max="31" width="15.88671875" customWidth="1"/>
    <col min="32" max="34" width="18.21875" customWidth="1"/>
    <col min="35" max="35" width="17.44140625" customWidth="1"/>
    <col min="36" max="36" width="19.5546875" customWidth="1"/>
    <col min="37" max="37" width="17.44140625" customWidth="1"/>
    <col min="38" max="38" width="16.44140625" customWidth="1"/>
    <col min="39" max="73" width="18.88671875" customWidth="1"/>
    <col min="74" max="74" width="20.21875" customWidth="1"/>
    <col min="75" max="75" width="18.88671875" customWidth="1"/>
    <col min="76" max="76" width="20" customWidth="1"/>
    <col min="77" max="77" width="17.109375" customWidth="1"/>
    <col min="78" max="78" width="20.21875" customWidth="1"/>
    <col min="79" max="79" width="16.88671875" customWidth="1"/>
    <col min="80" max="80" width="16.21875" customWidth="1"/>
    <col min="81" max="81" width="21.109375" customWidth="1"/>
    <col min="82" max="82" width="19.109375" customWidth="1"/>
  </cols>
  <sheetData>
    <row r="2" spans="1:73">
      <c r="B2" s="13"/>
    </row>
    <row r="3" spans="1:73" ht="15.6">
      <c r="B3" s="746" t="s">
        <v>100</v>
      </c>
      <c r="C3" s="746"/>
      <c r="D3" s="746"/>
      <c r="E3" s="746"/>
      <c r="F3" s="746"/>
      <c r="G3" s="746"/>
      <c r="H3" s="746"/>
      <c r="I3" s="746"/>
      <c r="J3" s="746"/>
      <c r="K3" s="14"/>
      <c r="L3" s="14"/>
      <c r="M3" s="2"/>
      <c r="N3" s="26"/>
      <c r="O3" s="27"/>
      <c r="P3" s="27"/>
      <c r="Q3" s="28"/>
      <c r="R3" s="26"/>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row>
    <row r="4" spans="1:73" ht="15.6">
      <c r="B4" s="746" t="s">
        <v>33</v>
      </c>
      <c r="C4" s="746"/>
      <c r="D4" s="746"/>
      <c r="E4" s="746"/>
      <c r="F4" s="746"/>
      <c r="G4" s="746"/>
      <c r="H4" s="746"/>
      <c r="I4" s="746"/>
      <c r="J4" s="746"/>
      <c r="K4" s="14"/>
      <c r="L4" s="14"/>
      <c r="M4" s="14"/>
      <c r="N4" s="26"/>
      <c r="O4" s="27"/>
      <c r="P4" s="27"/>
      <c r="Q4" s="28"/>
      <c r="R4" s="26"/>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row>
    <row r="5" spans="1:73" ht="15.6">
      <c r="B5" s="746" t="str">
        <f>Assumptions!B3&amp;" $s"</f>
        <v>2026 $s</v>
      </c>
      <c r="C5" s="746"/>
      <c r="D5" s="746"/>
      <c r="E5" s="746"/>
      <c r="F5" s="746"/>
      <c r="G5" s="746"/>
      <c r="H5" s="746"/>
      <c r="I5" s="746"/>
      <c r="J5" s="746"/>
      <c r="K5" s="14"/>
      <c r="L5" s="14"/>
      <c r="M5" s="48"/>
      <c r="N5" s="26"/>
      <c r="O5" s="27"/>
      <c r="P5" s="27"/>
      <c r="Q5" s="28"/>
      <c r="R5" s="26"/>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row>
    <row r="6" spans="1:73" ht="15.6" hidden="1">
      <c r="K6" s="14"/>
      <c r="L6" s="69">
        <v>1</v>
      </c>
      <c r="M6" s="70">
        <f>(1+M7)</f>
        <v>1.0249999999999999</v>
      </c>
      <c r="N6" s="70">
        <f>+(1+N7)*M6</f>
        <v>1.0506249999999999</v>
      </c>
      <c r="O6" s="70">
        <f>+(1+O7)*N6</f>
        <v>1.0768906249999999</v>
      </c>
      <c r="P6" s="70">
        <f t="shared" ref="P6:BS6" si="0">+(1+P7)*O6</f>
        <v>1.1038128906249998</v>
      </c>
      <c r="Q6" s="70">
        <f t="shared" si="0"/>
        <v>1.1314082128906247</v>
      </c>
      <c r="R6" s="70">
        <f t="shared" si="0"/>
        <v>1.1596934182128902</v>
      </c>
      <c r="S6" s="70">
        <f t="shared" si="0"/>
        <v>1.1886857536682123</v>
      </c>
      <c r="T6" s="70">
        <f t="shared" si="0"/>
        <v>1.2184028975099175</v>
      </c>
      <c r="U6" s="70">
        <f t="shared" si="0"/>
        <v>1.2488629699476652</v>
      </c>
      <c r="V6" s="70">
        <f t="shared" si="0"/>
        <v>1.2800845441963566</v>
      </c>
      <c r="W6" s="70">
        <f t="shared" si="0"/>
        <v>1.3120866578012655</v>
      </c>
      <c r="X6" s="70">
        <f t="shared" si="0"/>
        <v>1.3448888242462971</v>
      </c>
      <c r="Y6" s="70">
        <f t="shared" si="0"/>
        <v>1.3785110448524545</v>
      </c>
      <c r="Z6" s="70">
        <f t="shared" si="0"/>
        <v>1.4129738209737657</v>
      </c>
      <c r="AA6" s="70">
        <f t="shared" si="0"/>
        <v>1.4482981664981096</v>
      </c>
      <c r="AB6" s="70">
        <f t="shared" si="0"/>
        <v>1.4845056206605622</v>
      </c>
      <c r="AC6" s="70">
        <f t="shared" si="0"/>
        <v>1.5216182611770761</v>
      </c>
      <c r="AD6" s="70">
        <f t="shared" si="0"/>
        <v>1.5596587177065029</v>
      </c>
      <c r="AE6" s="70">
        <f t="shared" si="0"/>
        <v>1.5986501856491653</v>
      </c>
      <c r="AF6" s="70">
        <f t="shared" si="0"/>
        <v>1.6386164402903942</v>
      </c>
      <c r="AG6" s="70">
        <f t="shared" si="0"/>
        <v>1.6795818512976539</v>
      </c>
      <c r="AH6" s="70">
        <f t="shared" si="0"/>
        <v>1.721571397580095</v>
      </c>
      <c r="AI6" s="70">
        <f t="shared" si="0"/>
        <v>1.7646106825195973</v>
      </c>
      <c r="AJ6" s="70">
        <f t="shared" si="0"/>
        <v>1.8087259495825871</v>
      </c>
      <c r="AK6" s="70">
        <f t="shared" si="0"/>
        <v>1.8539440983221516</v>
      </c>
      <c r="AL6" s="70">
        <f t="shared" si="0"/>
        <v>1.9002927007802053</v>
      </c>
      <c r="AM6" s="70">
        <f t="shared" si="0"/>
        <v>1.9478000182997102</v>
      </c>
      <c r="AN6" s="70">
        <f t="shared" si="0"/>
        <v>1.9964950187572028</v>
      </c>
      <c r="AO6" s="70">
        <f>+(1+AO7)*AN6</f>
        <v>2.0464073942261325</v>
      </c>
      <c r="AP6" s="70">
        <f t="shared" si="0"/>
        <v>2.0975675790817858</v>
      </c>
      <c r="AQ6" s="70">
        <f t="shared" si="0"/>
        <v>2.1500067685588302</v>
      </c>
      <c r="AR6" s="70">
        <f t="shared" si="0"/>
        <v>2.2037569377728006</v>
      </c>
      <c r="AS6" s="70">
        <f t="shared" si="0"/>
        <v>2.2588508612171205</v>
      </c>
      <c r="AT6" s="70">
        <f t="shared" si="0"/>
        <v>2.3153221327475482</v>
      </c>
      <c r="AU6" s="70">
        <f t="shared" si="0"/>
        <v>2.3732051860662366</v>
      </c>
      <c r="AV6" s="70">
        <f t="shared" si="0"/>
        <v>2.4325353157178924</v>
      </c>
      <c r="AW6" s="70">
        <f t="shared" si="0"/>
        <v>2.4933486986108395</v>
      </c>
      <c r="AX6" s="70">
        <f t="shared" si="0"/>
        <v>2.5556824160761105</v>
      </c>
      <c r="AY6" s="70">
        <f t="shared" si="0"/>
        <v>2.6195744764780131</v>
      </c>
      <c r="AZ6" s="70">
        <f t="shared" si="0"/>
        <v>2.6850638383899632</v>
      </c>
      <c r="BA6" s="70">
        <f t="shared" si="0"/>
        <v>2.7521904343497119</v>
      </c>
      <c r="BB6" s="70">
        <f t="shared" si="0"/>
        <v>2.8209951952084547</v>
      </c>
      <c r="BC6" s="70">
        <f t="shared" si="0"/>
        <v>2.8915200750886658</v>
      </c>
      <c r="BD6" s="70">
        <f t="shared" si="0"/>
        <v>2.9638080769658823</v>
      </c>
      <c r="BE6" s="70">
        <f t="shared" si="0"/>
        <v>3.0379032788900293</v>
      </c>
      <c r="BF6" s="70">
        <f t="shared" si="0"/>
        <v>3.1138508608622799</v>
      </c>
      <c r="BG6" s="70">
        <f t="shared" si="0"/>
        <v>3.1916971323838368</v>
      </c>
      <c r="BH6" s="70">
        <f t="shared" si="0"/>
        <v>3.2714895606934324</v>
      </c>
      <c r="BI6" s="70">
        <f t="shared" si="0"/>
        <v>3.353276799710768</v>
      </c>
      <c r="BJ6" s="70">
        <f t="shared" si="0"/>
        <v>3.437108719703537</v>
      </c>
      <c r="BK6" s="70">
        <f t="shared" si="0"/>
        <v>3.523036437696125</v>
      </c>
      <c r="BL6" s="70">
        <f t="shared" si="0"/>
        <v>3.6111123486385277</v>
      </c>
      <c r="BM6" s="70">
        <f t="shared" si="0"/>
        <v>3.7013901573544907</v>
      </c>
      <c r="BN6" s="70">
        <f t="shared" si="0"/>
        <v>3.7939249112883529</v>
      </c>
      <c r="BO6" s="70">
        <f t="shared" si="0"/>
        <v>3.8887730340705615</v>
      </c>
      <c r="BP6" s="70">
        <f t="shared" si="0"/>
        <v>3.9859923599223253</v>
      </c>
      <c r="BQ6" s="70">
        <f t="shared" si="0"/>
        <v>4.0856421689203835</v>
      </c>
      <c r="BR6" s="70">
        <f t="shared" si="0"/>
        <v>4.1877832231433922</v>
      </c>
      <c r="BS6" s="71">
        <f t="shared" si="0"/>
        <v>4.2924778037219768</v>
      </c>
      <c r="BT6" s="29"/>
      <c r="BU6" s="29"/>
    </row>
    <row r="7" spans="1:73" ht="15" thickBot="1">
      <c r="E7" s="3"/>
      <c r="F7" s="10"/>
      <c r="G7" s="10"/>
      <c r="H7" s="10"/>
      <c r="I7" s="4"/>
      <c r="J7" s="4"/>
      <c r="K7" s="4"/>
      <c r="L7" s="226">
        <f>Assumptions!$B$18</f>
        <v>2.5000000000000001E-2</v>
      </c>
      <c r="M7" s="226">
        <f>Assumptions!$B$18</f>
        <v>2.5000000000000001E-2</v>
      </c>
      <c r="N7" s="226">
        <f>Assumptions!$B$18</f>
        <v>2.5000000000000001E-2</v>
      </c>
      <c r="O7" s="226">
        <f>Assumptions!$B$18</f>
        <v>2.5000000000000001E-2</v>
      </c>
      <c r="P7" s="226">
        <f>Assumptions!$B$18</f>
        <v>2.5000000000000001E-2</v>
      </c>
      <c r="Q7" s="226">
        <f>Assumptions!$B$18</f>
        <v>2.5000000000000001E-2</v>
      </c>
      <c r="R7" s="226">
        <f>Assumptions!$B$18</f>
        <v>2.5000000000000001E-2</v>
      </c>
      <c r="S7" s="226">
        <f>Assumptions!$B$18</f>
        <v>2.5000000000000001E-2</v>
      </c>
      <c r="T7" s="226">
        <f>Assumptions!$B$18</f>
        <v>2.5000000000000001E-2</v>
      </c>
      <c r="U7" s="226">
        <f>Assumptions!$B$18</f>
        <v>2.5000000000000001E-2</v>
      </c>
      <c r="V7" s="226">
        <f>Assumptions!$B$18</f>
        <v>2.5000000000000001E-2</v>
      </c>
      <c r="W7" s="226">
        <f>Assumptions!$B$18</f>
        <v>2.5000000000000001E-2</v>
      </c>
      <c r="X7" s="226">
        <f>Assumptions!$B$18</f>
        <v>2.5000000000000001E-2</v>
      </c>
      <c r="Y7" s="226">
        <f>Assumptions!$B$18</f>
        <v>2.5000000000000001E-2</v>
      </c>
      <c r="Z7" s="226">
        <f>Assumptions!$B$18</f>
        <v>2.5000000000000001E-2</v>
      </c>
      <c r="AA7" s="226">
        <f>Assumptions!$B$18</f>
        <v>2.5000000000000001E-2</v>
      </c>
      <c r="AB7" s="226">
        <f>Assumptions!$B$18</f>
        <v>2.5000000000000001E-2</v>
      </c>
      <c r="AC7" s="226">
        <f>Assumptions!$B$18</f>
        <v>2.5000000000000001E-2</v>
      </c>
      <c r="AD7" s="226">
        <f>Assumptions!$B$18</f>
        <v>2.5000000000000001E-2</v>
      </c>
      <c r="AE7" s="226">
        <f>Assumptions!$B$18</f>
        <v>2.5000000000000001E-2</v>
      </c>
      <c r="AF7" s="226">
        <f>Assumptions!$B$18</f>
        <v>2.5000000000000001E-2</v>
      </c>
      <c r="AG7" s="226">
        <f>Assumptions!$B$18</f>
        <v>2.5000000000000001E-2</v>
      </c>
      <c r="AH7" s="226">
        <f>Assumptions!$B$18</f>
        <v>2.5000000000000001E-2</v>
      </c>
      <c r="AI7" s="226">
        <f>Assumptions!$B$18</f>
        <v>2.5000000000000001E-2</v>
      </c>
      <c r="AJ7" s="226">
        <f>Assumptions!$B$18</f>
        <v>2.5000000000000001E-2</v>
      </c>
      <c r="AK7" s="226">
        <f>Assumptions!$B$18</f>
        <v>2.5000000000000001E-2</v>
      </c>
      <c r="AL7" s="226">
        <f>Assumptions!$B$18</f>
        <v>2.5000000000000001E-2</v>
      </c>
      <c r="AM7" s="226">
        <f>Assumptions!$B$18</f>
        <v>2.5000000000000001E-2</v>
      </c>
      <c r="AN7" s="226">
        <f>Assumptions!$B$18</f>
        <v>2.5000000000000001E-2</v>
      </c>
      <c r="AO7" s="226">
        <f>Assumptions!$B$18</f>
        <v>2.5000000000000001E-2</v>
      </c>
      <c r="AP7" s="226">
        <f>Assumptions!$B$18</f>
        <v>2.5000000000000001E-2</v>
      </c>
      <c r="AQ7" s="226">
        <f>Assumptions!$B$18</f>
        <v>2.5000000000000001E-2</v>
      </c>
      <c r="AR7" s="226">
        <f>Assumptions!$B$18</f>
        <v>2.5000000000000001E-2</v>
      </c>
      <c r="AS7" s="226">
        <f>Assumptions!$B$18</f>
        <v>2.5000000000000001E-2</v>
      </c>
      <c r="AT7" s="226">
        <f>Assumptions!$B$18</f>
        <v>2.5000000000000001E-2</v>
      </c>
      <c r="AU7" s="226">
        <f>Assumptions!$B$18</f>
        <v>2.5000000000000001E-2</v>
      </c>
      <c r="AV7" s="226">
        <f>Assumptions!$B$18</f>
        <v>2.5000000000000001E-2</v>
      </c>
      <c r="AW7" s="226">
        <f>Assumptions!$B$18</f>
        <v>2.5000000000000001E-2</v>
      </c>
      <c r="AX7" s="226">
        <f>Assumptions!$B$18</f>
        <v>2.5000000000000001E-2</v>
      </c>
      <c r="AY7" s="226">
        <f>Assumptions!$B$18</f>
        <v>2.5000000000000001E-2</v>
      </c>
      <c r="AZ7" s="226">
        <f>Assumptions!$B$18</f>
        <v>2.5000000000000001E-2</v>
      </c>
      <c r="BA7" s="226">
        <f>Assumptions!$B$18</f>
        <v>2.5000000000000001E-2</v>
      </c>
      <c r="BB7" s="226">
        <f>Assumptions!$B$18</f>
        <v>2.5000000000000001E-2</v>
      </c>
      <c r="BC7" s="226">
        <f>Assumptions!$B$18</f>
        <v>2.5000000000000001E-2</v>
      </c>
      <c r="BD7" s="226">
        <f>Assumptions!$B$18</f>
        <v>2.5000000000000001E-2</v>
      </c>
      <c r="BE7" s="226">
        <f>Assumptions!$B$18</f>
        <v>2.5000000000000001E-2</v>
      </c>
      <c r="BF7" s="226">
        <f>Assumptions!$B$18</f>
        <v>2.5000000000000001E-2</v>
      </c>
      <c r="BG7" s="226">
        <f>Assumptions!$B$18</f>
        <v>2.5000000000000001E-2</v>
      </c>
      <c r="BH7" s="226">
        <f>Assumptions!$B$18</f>
        <v>2.5000000000000001E-2</v>
      </c>
      <c r="BI7" s="226">
        <f>Assumptions!$B$18</f>
        <v>2.5000000000000001E-2</v>
      </c>
      <c r="BJ7" s="226">
        <f>Assumptions!$B$18</f>
        <v>2.5000000000000001E-2</v>
      </c>
      <c r="BK7" s="226">
        <f>Assumptions!$B$18</f>
        <v>2.5000000000000001E-2</v>
      </c>
      <c r="BL7" s="226">
        <f>Assumptions!$B$18</f>
        <v>2.5000000000000001E-2</v>
      </c>
      <c r="BM7" s="226">
        <f>Assumptions!$B$18</f>
        <v>2.5000000000000001E-2</v>
      </c>
      <c r="BN7" s="226">
        <f>Assumptions!$B$18</f>
        <v>2.5000000000000001E-2</v>
      </c>
      <c r="BO7" s="226">
        <f>Assumptions!$B$18</f>
        <v>2.5000000000000001E-2</v>
      </c>
      <c r="BP7" s="226">
        <f>Assumptions!$B$18</f>
        <v>2.5000000000000001E-2</v>
      </c>
      <c r="BQ7" s="226">
        <f>Assumptions!$B$18</f>
        <v>2.5000000000000001E-2</v>
      </c>
      <c r="BR7" s="226">
        <f>Assumptions!$B$18</f>
        <v>2.5000000000000001E-2</v>
      </c>
      <c r="BS7" s="226">
        <f>Assumptions!$B$18</f>
        <v>2.5000000000000001E-2</v>
      </c>
    </row>
    <row r="8" spans="1:73" ht="16.05" customHeight="1">
      <c r="A8" s="750" t="s">
        <v>0</v>
      </c>
      <c r="B8" s="753" t="s">
        <v>1</v>
      </c>
      <c r="C8" s="753" t="s">
        <v>2</v>
      </c>
      <c r="D8" s="753"/>
      <c r="E8" s="753"/>
      <c r="F8" s="754" t="s">
        <v>26</v>
      </c>
      <c r="G8" s="39"/>
      <c r="H8" s="39"/>
      <c r="I8" s="747" t="s">
        <v>20</v>
      </c>
      <c r="J8" s="747" t="s">
        <v>21</v>
      </c>
      <c r="K8" s="744" t="s">
        <v>27</v>
      </c>
      <c r="L8" s="72" t="s">
        <v>40</v>
      </c>
      <c r="M8" s="73"/>
      <c r="N8" s="73"/>
      <c r="O8" s="73"/>
      <c r="P8" s="73"/>
      <c r="Q8" s="73"/>
      <c r="R8" s="73"/>
      <c r="S8" s="73"/>
      <c r="T8" s="73"/>
      <c r="U8" s="73"/>
      <c r="V8" s="73"/>
      <c r="W8" s="73"/>
      <c r="X8" s="73"/>
      <c r="Y8" s="73"/>
      <c r="Z8" s="73"/>
      <c r="AA8" s="73"/>
      <c r="AB8" s="73"/>
      <c r="AC8" s="73"/>
      <c r="AD8" s="73"/>
      <c r="AE8" s="73"/>
      <c r="AF8" s="73"/>
      <c r="AG8" s="73"/>
      <c r="AH8" s="73"/>
      <c r="AI8" s="73"/>
      <c r="AJ8" s="73"/>
      <c r="AK8" s="73"/>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32"/>
    </row>
    <row r="9" spans="1:73" ht="65.7" customHeight="1">
      <c r="A9" s="751"/>
      <c r="B9" s="738"/>
      <c r="C9" s="738" t="s">
        <v>4</v>
      </c>
      <c r="D9" s="738" t="s">
        <v>5</v>
      </c>
      <c r="E9" s="738" t="s">
        <v>3</v>
      </c>
      <c r="F9" s="755"/>
      <c r="G9" s="40" t="s">
        <v>80</v>
      </c>
      <c r="H9" s="40" t="s">
        <v>41</v>
      </c>
      <c r="I9" s="748"/>
      <c r="J9" s="748"/>
      <c r="K9" s="745"/>
      <c r="L9" s="33">
        <v>0</v>
      </c>
      <c r="M9" s="33">
        <v>1</v>
      </c>
      <c r="N9" s="33">
        <f t="shared" ref="N9:BS9" si="1">+M9+1</f>
        <v>2</v>
      </c>
      <c r="O9" s="33">
        <f t="shared" si="1"/>
        <v>3</v>
      </c>
      <c r="P9" s="33">
        <f t="shared" si="1"/>
        <v>4</v>
      </c>
      <c r="Q9" s="33">
        <f t="shared" si="1"/>
        <v>5</v>
      </c>
      <c r="R9" s="33">
        <f t="shared" si="1"/>
        <v>6</v>
      </c>
      <c r="S9" s="33">
        <f t="shared" si="1"/>
        <v>7</v>
      </c>
      <c r="T9" s="33">
        <f t="shared" si="1"/>
        <v>8</v>
      </c>
      <c r="U9" s="33">
        <f t="shared" si="1"/>
        <v>9</v>
      </c>
      <c r="V9" s="33">
        <f t="shared" si="1"/>
        <v>10</v>
      </c>
      <c r="W9" s="33">
        <f t="shared" si="1"/>
        <v>11</v>
      </c>
      <c r="X9" s="33">
        <f t="shared" si="1"/>
        <v>12</v>
      </c>
      <c r="Y9" s="33">
        <f t="shared" si="1"/>
        <v>13</v>
      </c>
      <c r="Z9" s="33">
        <f t="shared" si="1"/>
        <v>14</v>
      </c>
      <c r="AA9" s="33">
        <f t="shared" si="1"/>
        <v>15</v>
      </c>
      <c r="AB9" s="33">
        <f t="shared" si="1"/>
        <v>16</v>
      </c>
      <c r="AC9" s="33">
        <f t="shared" si="1"/>
        <v>17</v>
      </c>
      <c r="AD9" s="33">
        <f t="shared" si="1"/>
        <v>18</v>
      </c>
      <c r="AE9" s="33">
        <f t="shared" si="1"/>
        <v>19</v>
      </c>
      <c r="AF9" s="33">
        <f t="shared" si="1"/>
        <v>20</v>
      </c>
      <c r="AG9" s="33">
        <f t="shared" si="1"/>
        <v>21</v>
      </c>
      <c r="AH9" s="33">
        <f t="shared" si="1"/>
        <v>22</v>
      </c>
      <c r="AI9" s="33">
        <f t="shared" si="1"/>
        <v>23</v>
      </c>
      <c r="AJ9" s="33">
        <f t="shared" si="1"/>
        <v>24</v>
      </c>
      <c r="AK9" s="33">
        <f t="shared" si="1"/>
        <v>25</v>
      </c>
      <c r="AL9" s="33">
        <f t="shared" si="1"/>
        <v>26</v>
      </c>
      <c r="AM9" s="33">
        <f t="shared" si="1"/>
        <v>27</v>
      </c>
      <c r="AN9" s="33">
        <f t="shared" si="1"/>
        <v>28</v>
      </c>
      <c r="AO9" s="33">
        <f t="shared" si="1"/>
        <v>29</v>
      </c>
      <c r="AP9" s="33">
        <f t="shared" si="1"/>
        <v>30</v>
      </c>
      <c r="AQ9" s="33">
        <f t="shared" si="1"/>
        <v>31</v>
      </c>
      <c r="AR9" s="33">
        <f t="shared" si="1"/>
        <v>32</v>
      </c>
      <c r="AS9" s="33">
        <f t="shared" si="1"/>
        <v>33</v>
      </c>
      <c r="AT9" s="33">
        <f t="shared" si="1"/>
        <v>34</v>
      </c>
      <c r="AU9" s="33">
        <f t="shared" si="1"/>
        <v>35</v>
      </c>
      <c r="AV9" s="33">
        <f t="shared" si="1"/>
        <v>36</v>
      </c>
      <c r="AW9" s="33">
        <f t="shared" si="1"/>
        <v>37</v>
      </c>
      <c r="AX9" s="33">
        <f t="shared" si="1"/>
        <v>38</v>
      </c>
      <c r="AY9" s="33">
        <f t="shared" si="1"/>
        <v>39</v>
      </c>
      <c r="AZ9" s="33">
        <f t="shared" si="1"/>
        <v>40</v>
      </c>
      <c r="BA9" s="33">
        <f t="shared" si="1"/>
        <v>41</v>
      </c>
      <c r="BB9" s="33">
        <f t="shared" si="1"/>
        <v>42</v>
      </c>
      <c r="BC9" s="33">
        <f t="shared" si="1"/>
        <v>43</v>
      </c>
      <c r="BD9" s="33">
        <f t="shared" si="1"/>
        <v>44</v>
      </c>
      <c r="BE9" s="33">
        <f t="shared" si="1"/>
        <v>45</v>
      </c>
      <c r="BF9" s="33">
        <f t="shared" si="1"/>
        <v>46</v>
      </c>
      <c r="BG9" s="33">
        <f t="shared" si="1"/>
        <v>47</v>
      </c>
      <c r="BH9" s="33">
        <f t="shared" si="1"/>
        <v>48</v>
      </c>
      <c r="BI9" s="33">
        <f t="shared" si="1"/>
        <v>49</v>
      </c>
      <c r="BJ9" s="33">
        <f t="shared" si="1"/>
        <v>50</v>
      </c>
      <c r="BK9" s="33">
        <f t="shared" si="1"/>
        <v>51</v>
      </c>
      <c r="BL9" s="33">
        <f t="shared" si="1"/>
        <v>52</v>
      </c>
      <c r="BM9" s="33">
        <f t="shared" si="1"/>
        <v>53</v>
      </c>
      <c r="BN9" s="33">
        <f t="shared" si="1"/>
        <v>54</v>
      </c>
      <c r="BO9" s="33">
        <f t="shared" si="1"/>
        <v>55</v>
      </c>
      <c r="BP9" s="33">
        <f t="shared" si="1"/>
        <v>56</v>
      </c>
      <c r="BQ9" s="33">
        <f t="shared" si="1"/>
        <v>57</v>
      </c>
      <c r="BR9" s="33">
        <f t="shared" si="1"/>
        <v>58</v>
      </c>
      <c r="BS9" s="33">
        <f t="shared" si="1"/>
        <v>59</v>
      </c>
      <c r="BT9" s="34"/>
    </row>
    <row r="10" spans="1:73" ht="18" customHeight="1" thickBot="1">
      <c r="A10" s="752"/>
      <c r="B10" s="739"/>
      <c r="C10" s="739"/>
      <c r="D10" s="739"/>
      <c r="E10" s="739"/>
      <c r="F10" s="25" t="str">
        <f>CONCATENATE("(",$B$5,")")</f>
        <v>(2026 $s)</v>
      </c>
      <c r="G10" s="25" t="str">
        <f>CONCATENATE("(",$B$5,")")</f>
        <v>(2026 $s)</v>
      </c>
      <c r="H10" s="25" t="str">
        <f>CONCATENATE("(",$B$5,")")</f>
        <v>(2026 $s)</v>
      </c>
      <c r="I10" s="749"/>
      <c r="J10" s="749"/>
      <c r="K10" s="30" t="str">
        <f>CONCATENATE("(",B5,")")</f>
        <v>(2026 $s)</v>
      </c>
      <c r="L10" s="5">
        <f>Assumptions!B3</f>
        <v>2026</v>
      </c>
      <c r="M10" s="5">
        <f t="shared" ref="M10:BS10" si="2">L10+1</f>
        <v>2027</v>
      </c>
      <c r="N10" s="5">
        <f t="shared" si="2"/>
        <v>2028</v>
      </c>
      <c r="O10" s="5">
        <f t="shared" si="2"/>
        <v>2029</v>
      </c>
      <c r="P10" s="5">
        <f t="shared" si="2"/>
        <v>2030</v>
      </c>
      <c r="Q10" s="5">
        <f t="shared" si="2"/>
        <v>2031</v>
      </c>
      <c r="R10" s="5">
        <f t="shared" si="2"/>
        <v>2032</v>
      </c>
      <c r="S10" s="5">
        <f t="shared" si="2"/>
        <v>2033</v>
      </c>
      <c r="T10" s="5">
        <f t="shared" si="2"/>
        <v>2034</v>
      </c>
      <c r="U10" s="5">
        <f t="shared" si="2"/>
        <v>2035</v>
      </c>
      <c r="V10" s="5">
        <f t="shared" si="2"/>
        <v>2036</v>
      </c>
      <c r="W10" s="5">
        <f t="shared" si="2"/>
        <v>2037</v>
      </c>
      <c r="X10" s="5">
        <f t="shared" si="2"/>
        <v>2038</v>
      </c>
      <c r="Y10" s="5">
        <f t="shared" si="2"/>
        <v>2039</v>
      </c>
      <c r="Z10" s="5">
        <f t="shared" si="2"/>
        <v>2040</v>
      </c>
      <c r="AA10" s="5">
        <f t="shared" si="2"/>
        <v>2041</v>
      </c>
      <c r="AB10" s="5">
        <f t="shared" si="2"/>
        <v>2042</v>
      </c>
      <c r="AC10" s="5">
        <f t="shared" si="2"/>
        <v>2043</v>
      </c>
      <c r="AD10" s="5">
        <f t="shared" si="2"/>
        <v>2044</v>
      </c>
      <c r="AE10" s="5">
        <f t="shared" si="2"/>
        <v>2045</v>
      </c>
      <c r="AF10" s="5">
        <f t="shared" si="2"/>
        <v>2046</v>
      </c>
      <c r="AG10" s="5">
        <f t="shared" si="2"/>
        <v>2047</v>
      </c>
      <c r="AH10" s="5">
        <f t="shared" si="2"/>
        <v>2048</v>
      </c>
      <c r="AI10" s="5">
        <f t="shared" si="2"/>
        <v>2049</v>
      </c>
      <c r="AJ10" s="5">
        <f t="shared" si="2"/>
        <v>2050</v>
      </c>
      <c r="AK10" s="5">
        <f t="shared" si="2"/>
        <v>2051</v>
      </c>
      <c r="AL10" s="5">
        <f t="shared" si="2"/>
        <v>2052</v>
      </c>
      <c r="AM10" s="5">
        <f t="shared" si="2"/>
        <v>2053</v>
      </c>
      <c r="AN10" s="5">
        <f t="shared" si="2"/>
        <v>2054</v>
      </c>
      <c r="AO10" s="5">
        <f t="shared" si="2"/>
        <v>2055</v>
      </c>
      <c r="AP10" s="5">
        <f t="shared" si="2"/>
        <v>2056</v>
      </c>
      <c r="AQ10" s="5">
        <f t="shared" si="2"/>
        <v>2057</v>
      </c>
      <c r="AR10" s="5">
        <f t="shared" si="2"/>
        <v>2058</v>
      </c>
      <c r="AS10" s="5">
        <f t="shared" si="2"/>
        <v>2059</v>
      </c>
      <c r="AT10" s="5">
        <f t="shared" si="2"/>
        <v>2060</v>
      </c>
      <c r="AU10" s="5">
        <f t="shared" si="2"/>
        <v>2061</v>
      </c>
      <c r="AV10" s="5">
        <f t="shared" si="2"/>
        <v>2062</v>
      </c>
      <c r="AW10" s="5">
        <f t="shared" si="2"/>
        <v>2063</v>
      </c>
      <c r="AX10" s="5">
        <f t="shared" si="2"/>
        <v>2064</v>
      </c>
      <c r="AY10" s="5">
        <f t="shared" si="2"/>
        <v>2065</v>
      </c>
      <c r="AZ10" s="5">
        <f t="shared" si="2"/>
        <v>2066</v>
      </c>
      <c r="BA10" s="5">
        <f t="shared" si="2"/>
        <v>2067</v>
      </c>
      <c r="BB10" s="5">
        <f t="shared" si="2"/>
        <v>2068</v>
      </c>
      <c r="BC10" s="5">
        <f t="shared" si="2"/>
        <v>2069</v>
      </c>
      <c r="BD10" s="5">
        <f t="shared" si="2"/>
        <v>2070</v>
      </c>
      <c r="BE10" s="5">
        <f t="shared" si="2"/>
        <v>2071</v>
      </c>
      <c r="BF10" s="5">
        <f t="shared" si="2"/>
        <v>2072</v>
      </c>
      <c r="BG10" s="5">
        <f t="shared" si="2"/>
        <v>2073</v>
      </c>
      <c r="BH10" s="5">
        <f t="shared" si="2"/>
        <v>2074</v>
      </c>
      <c r="BI10" s="5">
        <f t="shared" si="2"/>
        <v>2075</v>
      </c>
      <c r="BJ10" s="5">
        <f t="shared" si="2"/>
        <v>2076</v>
      </c>
      <c r="BK10" s="5">
        <f t="shared" si="2"/>
        <v>2077</v>
      </c>
      <c r="BL10" s="5">
        <f t="shared" si="2"/>
        <v>2078</v>
      </c>
      <c r="BM10" s="5">
        <f t="shared" si="2"/>
        <v>2079</v>
      </c>
      <c r="BN10" s="5">
        <f t="shared" si="2"/>
        <v>2080</v>
      </c>
      <c r="BO10" s="5">
        <f t="shared" si="2"/>
        <v>2081</v>
      </c>
      <c r="BP10" s="5">
        <f t="shared" si="2"/>
        <v>2082</v>
      </c>
      <c r="BQ10" s="5">
        <f t="shared" si="2"/>
        <v>2083</v>
      </c>
      <c r="BR10" s="5">
        <f t="shared" si="2"/>
        <v>2084</v>
      </c>
      <c r="BS10" s="5">
        <f t="shared" si="2"/>
        <v>2085</v>
      </c>
      <c r="BT10" s="35" t="s">
        <v>6</v>
      </c>
    </row>
    <row r="11" spans="1:73" ht="16.95" customHeight="1">
      <c r="A11" s="8" t="s">
        <v>13</v>
      </c>
      <c r="B11" s="9" t="s">
        <v>12</v>
      </c>
      <c r="C11" s="9" t="s">
        <v>81</v>
      </c>
      <c r="D11" s="9" t="s">
        <v>82</v>
      </c>
      <c r="E11" s="9" t="s">
        <v>15</v>
      </c>
      <c r="F11" s="11" t="s">
        <v>14</v>
      </c>
      <c r="G11" s="11" t="s">
        <v>16</v>
      </c>
      <c r="H11" s="11" t="s">
        <v>17</v>
      </c>
      <c r="I11" s="11" t="s">
        <v>18</v>
      </c>
      <c r="J11" s="11" t="s">
        <v>19</v>
      </c>
      <c r="K11" s="31" t="s">
        <v>83</v>
      </c>
      <c r="L11" s="43"/>
      <c r="M11" s="43"/>
      <c r="N11" s="37" t="str">
        <f t="shared" ref="N11" si="3">IF(AND(N$10=$C11,N$10=$D11),(($K11/$E11)*N$6),IF(AND(N$10&gt;=$C11,N$10&lt;=$D11),(($K11/$E11)*N$6),""))</f>
        <v/>
      </c>
      <c r="O11" s="43"/>
      <c r="P11" s="43"/>
      <c r="Q11" s="43"/>
      <c r="R11" s="43"/>
      <c r="S11" s="43"/>
      <c r="T11" s="43"/>
      <c r="U11" s="43"/>
      <c r="V11" s="43"/>
      <c r="W11" s="43"/>
      <c r="X11" s="43"/>
      <c r="Y11" s="43"/>
      <c r="Z11" s="43"/>
      <c r="AA11" s="43"/>
      <c r="AB11" s="43"/>
      <c r="AC11" s="43"/>
      <c r="AD11" s="43"/>
      <c r="AE11" s="44"/>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36"/>
    </row>
    <row r="12" spans="1:73" ht="16.95" customHeight="1">
      <c r="A12" s="602" t="s">
        <v>67</v>
      </c>
      <c r="B12" s="603" t="str">
        <f>INDEX('W-Storage'!$C$4:$C$11,MATCH(Table195781011121314236172728151617187202325[[#This Row],[a]],'W-Storage'!$B$4:$B$11,0))</f>
        <v>South Okotoks Reservoir Phase 1 (3,660 m3)</v>
      </c>
      <c r="C12" s="81">
        <f>INDEX('W-Storage'!$F$6:$F$10,MATCH(Table195781011121314236172728151617187202325[[#This Row],[a]],'W-Storage'!$B$6:$B$10,0))</f>
        <v>2027</v>
      </c>
      <c r="D12" s="81">
        <f>INDEX('W-Storage'!$G$6:$G$10,MATCH(Table195781011121314236172728151617187202325[[#This Row],[a]],'W-Storage'!$B$6:$B$10,0))</f>
        <v>2030</v>
      </c>
      <c r="E12" s="82">
        <f>(D12-C12)+1</f>
        <v>4</v>
      </c>
      <c r="F12" s="89">
        <f>INDEX('W-Storage'!$K$6:$K$10,MATCH(Table195781011121314236172728151617187202325[[#This Row],[a]],'W-Storage'!$B$6:$B$10,0))</f>
        <v>4244477.9106591772</v>
      </c>
      <c r="G12" s="83"/>
      <c r="H12" s="84">
        <f>+Table195781011121314236172728151617187202325[[#This Row],[f]]-Table195781011121314236172728151617187202325[[#This Row],[g]]</f>
        <v>4244477.9106591772</v>
      </c>
      <c r="I12" s="90">
        <f>INDEX('W-Storage'!$H$6:$H$10,MATCH(Table195781011121314236172728151617187202325[[#This Row],[a]],'W-Storage'!$B$6:$B$10,0))</f>
        <v>1</v>
      </c>
      <c r="J12" s="85">
        <f>1-Table195781011121314236172728151617187202325[[#This Row],[i]]</f>
        <v>0</v>
      </c>
      <c r="K12" s="86">
        <f>(Table195781011121314236172728151617187202325[[#This Row],[h]]*Table195781011121314236172728151617187202325[[#This Row],[i]])</f>
        <v>4244477.9106591772</v>
      </c>
      <c r="L12" s="37" t="str">
        <f t="shared" ref="L12:AA16" si="4">IF(AND(L$10=$C12,L$10=$D12),(($K12/$E12)*L$6),IF(AND(L$10&gt;=$C12,L$10&lt;=$D12),(($K12/$E12)*L$6),""))</f>
        <v/>
      </c>
      <c r="M12" s="37">
        <f t="shared" si="4"/>
        <v>1087647.4646064141</v>
      </c>
      <c r="N12" s="37">
        <f>IF(AND(N$10=$C12,N$10=$D12),(($K12/$E12)*N$6),IF(AND(N$10&gt;=$C12,N$10&lt;=$D12),(($K12/$E12)*N$6),""))</f>
        <v>1114838.6512215745</v>
      </c>
      <c r="O12" s="37">
        <f t="shared" si="4"/>
        <v>1142709.6175021138</v>
      </c>
      <c r="P12" s="37">
        <f t="shared" si="4"/>
        <v>1171277.3579396664</v>
      </c>
      <c r="Q12" s="37" t="str">
        <f t="shared" si="4"/>
        <v/>
      </c>
      <c r="R12" s="37" t="str">
        <f t="shared" si="4"/>
        <v/>
      </c>
      <c r="S12" s="37" t="str">
        <f t="shared" si="4"/>
        <v/>
      </c>
      <c r="T12" s="37" t="str">
        <f t="shared" si="4"/>
        <v/>
      </c>
      <c r="U12" s="37" t="str">
        <f t="shared" si="4"/>
        <v/>
      </c>
      <c r="V12" s="37" t="str">
        <f t="shared" si="4"/>
        <v/>
      </c>
      <c r="W12" s="37" t="str">
        <f t="shared" si="4"/>
        <v/>
      </c>
      <c r="X12" s="37" t="str">
        <f t="shared" si="4"/>
        <v/>
      </c>
      <c r="Y12" s="37" t="str">
        <f t="shared" si="4"/>
        <v/>
      </c>
      <c r="Z12" s="37" t="str">
        <f t="shared" si="4"/>
        <v/>
      </c>
      <c r="AA12" s="37" t="str">
        <f t="shared" si="4"/>
        <v/>
      </c>
      <c r="AB12" s="37" t="str">
        <f t="shared" ref="AB12:AQ16" si="5">IF(AND(AB$10=$C12,AB$10=$D12),(($K12/$E12)*AB$6),IF(AND(AB$10&gt;=$C12,AB$10&lt;=$D12),(($K12/$E12)*AB$6),""))</f>
        <v/>
      </c>
      <c r="AC12" s="37" t="str">
        <f t="shared" si="5"/>
        <v/>
      </c>
      <c r="AD12" s="37" t="str">
        <f t="shared" si="5"/>
        <v/>
      </c>
      <c r="AE12" s="37" t="str">
        <f t="shared" si="5"/>
        <v/>
      </c>
      <c r="AF12" s="37" t="str">
        <f t="shared" si="5"/>
        <v/>
      </c>
      <c r="AG12" s="37" t="str">
        <f t="shared" si="5"/>
        <v/>
      </c>
      <c r="AH12" s="37" t="str">
        <f t="shared" si="5"/>
        <v/>
      </c>
      <c r="AI12" s="37" t="str">
        <f t="shared" si="5"/>
        <v/>
      </c>
      <c r="AJ12" s="37" t="str">
        <f t="shared" si="5"/>
        <v/>
      </c>
      <c r="AK12" s="37" t="str">
        <f t="shared" si="5"/>
        <v/>
      </c>
      <c r="AL12" s="37" t="str">
        <f t="shared" si="5"/>
        <v/>
      </c>
      <c r="AM12" s="37" t="str">
        <f t="shared" si="5"/>
        <v/>
      </c>
      <c r="AN12" s="37" t="str">
        <f t="shared" si="5"/>
        <v/>
      </c>
      <c r="AO12" s="37" t="str">
        <f t="shared" si="5"/>
        <v/>
      </c>
      <c r="AP12" s="37" t="str">
        <f t="shared" si="5"/>
        <v/>
      </c>
      <c r="AQ12" s="37" t="str">
        <f t="shared" si="5"/>
        <v/>
      </c>
      <c r="AR12" s="37" t="str">
        <f t="shared" ref="AR12:BG15" si="6">IF(AND(AR$10=$C12,AR$10=$D12),(($K12/$E12)*AR$6),IF(AND(AR$10&gt;=$C12,AR$10&lt;=$D12),(($K12/$E12)*AR$6),""))</f>
        <v/>
      </c>
      <c r="AS12" s="37" t="str">
        <f t="shared" si="6"/>
        <v/>
      </c>
      <c r="AT12" s="37" t="str">
        <f t="shared" si="6"/>
        <v/>
      </c>
      <c r="AU12" s="37" t="str">
        <f t="shared" si="6"/>
        <v/>
      </c>
      <c r="AV12" s="37" t="str">
        <f t="shared" si="6"/>
        <v/>
      </c>
      <c r="AW12" s="37" t="str">
        <f t="shared" si="6"/>
        <v/>
      </c>
      <c r="AX12" s="37" t="str">
        <f t="shared" si="6"/>
        <v/>
      </c>
      <c r="AY12" s="37" t="str">
        <f t="shared" si="6"/>
        <v/>
      </c>
      <c r="AZ12" s="37" t="str">
        <f t="shared" si="6"/>
        <v/>
      </c>
      <c r="BA12" s="37" t="str">
        <f t="shared" si="6"/>
        <v/>
      </c>
      <c r="BB12" s="37" t="str">
        <f t="shared" si="6"/>
        <v/>
      </c>
      <c r="BC12" s="37" t="str">
        <f t="shared" si="6"/>
        <v/>
      </c>
      <c r="BD12" s="37" t="str">
        <f t="shared" si="6"/>
        <v/>
      </c>
      <c r="BE12" s="37" t="str">
        <f t="shared" si="6"/>
        <v/>
      </c>
      <c r="BF12" s="37" t="str">
        <f t="shared" si="6"/>
        <v/>
      </c>
      <c r="BG12" s="37" t="str">
        <f t="shared" si="6"/>
        <v/>
      </c>
      <c r="BH12" s="37" t="str">
        <f t="shared" ref="BH12:BS15" si="7">IF(AND(BH$10=$C12,BH$10=$D12),(($K12/$E12)*BH$6),IF(AND(BH$10&gt;=$C12,BH$10&lt;=$D12),(($K12/$E12)*BH$6),""))</f>
        <v/>
      </c>
      <c r="BI12" s="37" t="str">
        <f t="shared" si="7"/>
        <v/>
      </c>
      <c r="BJ12" s="37" t="str">
        <f t="shared" si="7"/>
        <v/>
      </c>
      <c r="BK12" s="37" t="str">
        <f t="shared" si="7"/>
        <v/>
      </c>
      <c r="BL12" s="37" t="str">
        <f t="shared" si="7"/>
        <v/>
      </c>
      <c r="BM12" s="37" t="str">
        <f t="shared" si="7"/>
        <v/>
      </c>
      <c r="BN12" s="37" t="str">
        <f t="shared" si="7"/>
        <v/>
      </c>
      <c r="BO12" s="37" t="str">
        <f t="shared" si="7"/>
        <v/>
      </c>
      <c r="BP12" s="37" t="str">
        <f t="shared" si="7"/>
        <v/>
      </c>
      <c r="BQ12" s="37" t="str">
        <f t="shared" si="7"/>
        <v/>
      </c>
      <c r="BR12" s="37" t="str">
        <f t="shared" si="7"/>
        <v/>
      </c>
      <c r="BS12" s="37" t="str">
        <f t="shared" si="7"/>
        <v/>
      </c>
      <c r="BT12" s="104">
        <f>SUM(L12:BS12)</f>
        <v>4516473.0912697688</v>
      </c>
    </row>
    <row r="13" spans="1:73" ht="16.95" customHeight="1">
      <c r="A13" s="602">
        <v>12</v>
      </c>
      <c r="B13" s="603" t="str">
        <f>INDEX('W-Storage'!$C$4:$C$11,MATCH(Table195781011121314236172728151617187202325[[#This Row],[a]],'W-Storage'!$B$4:$B$11,0))</f>
        <v>South Okotoks Reservoir Supply Pump Station</v>
      </c>
      <c r="C13" s="106">
        <f>INDEX('W-Storage'!$F$6:$F$10,MATCH(Table195781011121314236172728151617187202325[[#This Row],[a]],'W-Storage'!$B$6:$B$10,0))</f>
        <v>2026</v>
      </c>
      <c r="D13" s="106">
        <f>INDEX('W-Storage'!$G$6:$G$10,MATCH(Table195781011121314236172728151617187202325[[#This Row],[a]],'W-Storage'!$B$6:$B$10,0))</f>
        <v>2028</v>
      </c>
      <c r="E13" s="107">
        <f t="shared" ref="E13" si="8">(D13-C13)+1</f>
        <v>3</v>
      </c>
      <c r="F13" s="91">
        <f>INDEX('W-Storage'!$K$6:$K$10,MATCH(Table195781011121314236172728151617187202325[[#This Row],[a]],'W-Storage'!$B$6:$B$10,0))</f>
        <v>4139298.3398437481</v>
      </c>
      <c r="G13" s="83"/>
      <c r="H13" s="87">
        <f>+Table195781011121314236172728151617187202325[[#This Row],[f]]-Table195781011121314236172728151617187202325[[#This Row],[g]]</f>
        <v>4139298.3398437481</v>
      </c>
      <c r="I13" s="92">
        <f>INDEX('W-Storage'!$H$6:$H$10,MATCH(Table195781011121314236172728151617187202325[[#This Row],[a]],'W-Storage'!$B$6:$B$10,0))</f>
        <v>0.56000000000000005</v>
      </c>
      <c r="J13" s="85">
        <f>1-Table195781011121314236172728151617187202325[[#This Row],[i]]</f>
        <v>0.43999999999999995</v>
      </c>
      <c r="K13" s="88">
        <f>(Table195781011121314236172728151617187202325[[#This Row],[h]]*Table195781011121314236172728151617187202325[[#This Row],[i]])</f>
        <v>2318007.0703124991</v>
      </c>
      <c r="L13" s="37">
        <f t="shared" si="4"/>
        <v>772669.02343749965</v>
      </c>
      <c r="M13" s="37">
        <f t="shared" si="4"/>
        <v>791985.74902343703</v>
      </c>
      <c r="N13" s="37">
        <f t="shared" si="4"/>
        <v>811785.39274902304</v>
      </c>
      <c r="O13" s="37" t="str">
        <f t="shared" si="4"/>
        <v/>
      </c>
      <c r="P13" s="37" t="str">
        <f t="shared" si="4"/>
        <v/>
      </c>
      <c r="Q13" s="37" t="str">
        <f t="shared" si="4"/>
        <v/>
      </c>
      <c r="R13" s="37" t="str">
        <f t="shared" si="4"/>
        <v/>
      </c>
      <c r="S13" s="37" t="str">
        <f t="shared" si="4"/>
        <v/>
      </c>
      <c r="T13" s="37" t="str">
        <f t="shared" si="4"/>
        <v/>
      </c>
      <c r="U13" s="37" t="str">
        <f t="shared" si="4"/>
        <v/>
      </c>
      <c r="V13" s="37" t="str">
        <f t="shared" si="4"/>
        <v/>
      </c>
      <c r="W13" s="37" t="str">
        <f t="shared" si="4"/>
        <v/>
      </c>
      <c r="X13" s="37" t="str">
        <f t="shared" si="4"/>
        <v/>
      </c>
      <c r="Y13" s="37" t="str">
        <f t="shared" si="4"/>
        <v/>
      </c>
      <c r="Z13" s="37" t="str">
        <f t="shared" si="4"/>
        <v/>
      </c>
      <c r="AA13" s="37" t="str">
        <f t="shared" si="4"/>
        <v/>
      </c>
      <c r="AB13" s="37" t="str">
        <f t="shared" si="5"/>
        <v/>
      </c>
      <c r="AC13" s="37" t="str">
        <f t="shared" si="5"/>
        <v/>
      </c>
      <c r="AD13" s="37" t="str">
        <f t="shared" si="5"/>
        <v/>
      </c>
      <c r="AE13" s="37" t="str">
        <f t="shared" si="5"/>
        <v/>
      </c>
      <c r="AF13" s="37" t="str">
        <f t="shared" si="5"/>
        <v/>
      </c>
      <c r="AG13" s="37" t="str">
        <f t="shared" si="5"/>
        <v/>
      </c>
      <c r="AH13" s="37" t="str">
        <f t="shared" si="5"/>
        <v/>
      </c>
      <c r="AI13" s="37" t="str">
        <f t="shared" si="5"/>
        <v/>
      </c>
      <c r="AJ13" s="37" t="str">
        <f t="shared" si="5"/>
        <v/>
      </c>
      <c r="AK13" s="37" t="str">
        <f t="shared" si="5"/>
        <v/>
      </c>
      <c r="AL13" s="37" t="str">
        <f t="shared" si="5"/>
        <v/>
      </c>
      <c r="AM13" s="37" t="str">
        <f t="shared" si="5"/>
        <v/>
      </c>
      <c r="AN13" s="37" t="str">
        <f t="shared" si="5"/>
        <v/>
      </c>
      <c r="AO13" s="37" t="str">
        <f t="shared" si="5"/>
        <v/>
      </c>
      <c r="AP13" s="37" t="str">
        <f t="shared" si="5"/>
        <v/>
      </c>
      <c r="AQ13" s="37" t="str">
        <f t="shared" si="5"/>
        <v/>
      </c>
      <c r="AR13" s="37" t="str">
        <f t="shared" si="6"/>
        <v/>
      </c>
      <c r="AS13" s="37" t="str">
        <f t="shared" si="6"/>
        <v/>
      </c>
      <c r="AT13" s="37" t="str">
        <f t="shared" si="6"/>
        <v/>
      </c>
      <c r="AU13" s="37" t="str">
        <f t="shared" si="6"/>
        <v/>
      </c>
      <c r="AV13" s="37" t="str">
        <f t="shared" si="6"/>
        <v/>
      </c>
      <c r="AW13" s="37" t="str">
        <f t="shared" si="6"/>
        <v/>
      </c>
      <c r="AX13" s="37" t="str">
        <f t="shared" si="6"/>
        <v/>
      </c>
      <c r="AY13" s="37" t="str">
        <f t="shared" si="6"/>
        <v/>
      </c>
      <c r="AZ13" s="37" t="str">
        <f t="shared" si="6"/>
        <v/>
      </c>
      <c r="BA13" s="37" t="str">
        <f t="shared" si="6"/>
        <v/>
      </c>
      <c r="BB13" s="37" t="str">
        <f t="shared" si="6"/>
        <v/>
      </c>
      <c r="BC13" s="37" t="str">
        <f t="shared" si="6"/>
        <v/>
      </c>
      <c r="BD13" s="37" t="str">
        <f t="shared" si="6"/>
        <v/>
      </c>
      <c r="BE13" s="37" t="str">
        <f t="shared" si="6"/>
        <v/>
      </c>
      <c r="BF13" s="37" t="str">
        <f t="shared" si="6"/>
        <v/>
      </c>
      <c r="BG13" s="37" t="str">
        <f t="shared" si="6"/>
        <v/>
      </c>
      <c r="BH13" s="37" t="str">
        <f t="shared" si="7"/>
        <v/>
      </c>
      <c r="BI13" s="37" t="str">
        <f t="shared" si="7"/>
        <v/>
      </c>
      <c r="BJ13" s="37" t="str">
        <f t="shared" si="7"/>
        <v/>
      </c>
      <c r="BK13" s="37" t="str">
        <f t="shared" si="7"/>
        <v/>
      </c>
      <c r="BL13" s="37" t="str">
        <f t="shared" si="7"/>
        <v/>
      </c>
      <c r="BM13" s="37" t="str">
        <f t="shared" si="7"/>
        <v/>
      </c>
      <c r="BN13" s="37" t="str">
        <f t="shared" si="7"/>
        <v/>
      </c>
      <c r="BO13" s="37" t="str">
        <f t="shared" si="7"/>
        <v/>
      </c>
      <c r="BP13" s="37" t="str">
        <f t="shared" si="7"/>
        <v/>
      </c>
      <c r="BQ13" s="37" t="str">
        <f t="shared" si="7"/>
        <v/>
      </c>
      <c r="BR13" s="37" t="str">
        <f t="shared" si="7"/>
        <v/>
      </c>
      <c r="BS13" s="37" t="str">
        <f t="shared" si="7"/>
        <v/>
      </c>
      <c r="BT13" s="104">
        <f t="shared" ref="BT13:BT16" si="9">SUM(L13:BS13)</f>
        <v>2376440.1652099597</v>
      </c>
    </row>
    <row r="14" spans="1:73" ht="16.95" customHeight="1">
      <c r="A14" s="602" t="s">
        <v>109</v>
      </c>
      <c r="B14" s="603" t="str">
        <f>INDEX('W-Storage'!$C$4:$C$11,MATCH(Table195781011121314236172728151617187202325[[#This Row],[a]],'W-Storage'!$B$4:$B$11,0))</f>
        <v>450 mm South Okotoks Twin Supply Mains</v>
      </c>
      <c r="C14" s="108">
        <f>INDEX('W-Storage'!$F$6:$F$10,MATCH(Table195781011121314236172728151617187202325[[#This Row],[a]],'W-Storage'!$B$6:$B$10,0))</f>
        <v>2026</v>
      </c>
      <c r="D14" s="109">
        <f>INDEX('W-Storage'!$G$6:$G$10,MATCH(Table195781011121314236172728151617187202325[[#This Row],[a]],'W-Storage'!$B$6:$B$10,0))</f>
        <v>2026</v>
      </c>
      <c r="E14" s="110">
        <f>(D14-C14)+1</f>
        <v>1</v>
      </c>
      <c r="F14" s="111">
        <f>INDEX('W-Storage'!$K$6:$K$10,MATCH(Table195781011121314236172728151617187202325[[#This Row],[a]],'W-Storage'!$B$6:$B$10,0))</f>
        <v>3850000</v>
      </c>
      <c r="G14" s="112"/>
      <c r="H14" s="113">
        <f>+Table195781011121314236172728151617187202325[[#This Row],[f]]-Table195781011121314236172728151617187202325[[#This Row],[g]]</f>
        <v>3850000</v>
      </c>
      <c r="I14" s="114">
        <f>INDEX('W-Storage'!$H$6:$H$10,MATCH(Table195781011121314236172728151617187202325[[#This Row],[a]],'W-Storage'!$B$6:$B$10,0))</f>
        <v>0.71099999999999997</v>
      </c>
      <c r="J14" s="115">
        <f>1-Table195781011121314236172728151617187202325[[#This Row],[i]]</f>
        <v>0.28900000000000003</v>
      </c>
      <c r="K14" s="116">
        <f>(Table195781011121314236172728151617187202325[[#This Row],[h]]*Table195781011121314236172728151617187202325[[#This Row],[i]])</f>
        <v>2737350</v>
      </c>
      <c r="L14" s="37">
        <f>Table195781011121314236172728151617187202325[[#This Row],[k]]</f>
        <v>2737350</v>
      </c>
      <c r="M14" s="37" t="str">
        <f t="shared" si="4"/>
        <v/>
      </c>
      <c r="N14" s="37" t="str">
        <f t="shared" si="4"/>
        <v/>
      </c>
      <c r="O14" s="37" t="str">
        <f t="shared" si="4"/>
        <v/>
      </c>
      <c r="P14" s="37" t="str">
        <f t="shared" si="4"/>
        <v/>
      </c>
      <c r="Q14" s="37" t="str">
        <f t="shared" si="4"/>
        <v/>
      </c>
      <c r="R14" s="37" t="str">
        <f t="shared" si="4"/>
        <v/>
      </c>
      <c r="S14" s="37" t="str">
        <f t="shared" si="4"/>
        <v/>
      </c>
      <c r="T14" s="37" t="str">
        <f t="shared" si="4"/>
        <v/>
      </c>
      <c r="U14" s="37" t="str">
        <f t="shared" si="4"/>
        <v/>
      </c>
      <c r="V14" s="37" t="str">
        <f t="shared" si="4"/>
        <v/>
      </c>
      <c r="W14" s="37" t="str">
        <f t="shared" si="4"/>
        <v/>
      </c>
      <c r="X14" s="37" t="str">
        <f t="shared" si="4"/>
        <v/>
      </c>
      <c r="Y14" s="37" t="str">
        <f t="shared" si="4"/>
        <v/>
      </c>
      <c r="Z14" s="37" t="str">
        <f t="shared" si="4"/>
        <v/>
      </c>
      <c r="AA14" s="37" t="str">
        <f t="shared" si="4"/>
        <v/>
      </c>
      <c r="AB14" s="37" t="str">
        <f t="shared" si="5"/>
        <v/>
      </c>
      <c r="AC14" s="37" t="str">
        <f t="shared" si="5"/>
        <v/>
      </c>
      <c r="AD14" s="37" t="str">
        <f t="shared" si="5"/>
        <v/>
      </c>
      <c r="AE14" s="37" t="str">
        <f t="shared" si="5"/>
        <v/>
      </c>
      <c r="AF14" s="37" t="str">
        <f t="shared" si="5"/>
        <v/>
      </c>
      <c r="AG14" s="37" t="str">
        <f t="shared" si="5"/>
        <v/>
      </c>
      <c r="AH14" s="37" t="str">
        <f t="shared" si="5"/>
        <v/>
      </c>
      <c r="AI14" s="37" t="str">
        <f t="shared" si="5"/>
        <v/>
      </c>
      <c r="AJ14" s="37" t="str">
        <f t="shared" si="5"/>
        <v/>
      </c>
      <c r="AK14" s="37" t="str">
        <f t="shared" si="5"/>
        <v/>
      </c>
      <c r="AL14" s="37" t="str">
        <f t="shared" si="5"/>
        <v/>
      </c>
      <c r="AM14" s="37" t="str">
        <f t="shared" si="5"/>
        <v/>
      </c>
      <c r="AN14" s="37" t="str">
        <f t="shared" si="5"/>
        <v/>
      </c>
      <c r="AO14" s="37" t="str">
        <f t="shared" si="5"/>
        <v/>
      </c>
      <c r="AP14" s="37" t="str">
        <f t="shared" si="5"/>
        <v/>
      </c>
      <c r="AQ14" s="37" t="str">
        <f t="shared" si="5"/>
        <v/>
      </c>
      <c r="AR14" s="37" t="str">
        <f t="shared" si="6"/>
        <v/>
      </c>
      <c r="AS14" s="37" t="str">
        <f t="shared" si="6"/>
        <v/>
      </c>
      <c r="AT14" s="37" t="str">
        <f t="shared" si="6"/>
        <v/>
      </c>
      <c r="AU14" s="37" t="str">
        <f t="shared" si="6"/>
        <v/>
      </c>
      <c r="AV14" s="37" t="str">
        <f t="shared" si="6"/>
        <v/>
      </c>
      <c r="AW14" s="37" t="str">
        <f t="shared" si="6"/>
        <v/>
      </c>
      <c r="AX14" s="37" t="str">
        <f t="shared" si="6"/>
        <v/>
      </c>
      <c r="AY14" s="37" t="str">
        <f t="shared" si="6"/>
        <v/>
      </c>
      <c r="AZ14" s="37" t="str">
        <f t="shared" si="6"/>
        <v/>
      </c>
      <c r="BA14" s="37" t="str">
        <f t="shared" si="6"/>
        <v/>
      </c>
      <c r="BB14" s="37" t="str">
        <f t="shared" si="6"/>
        <v/>
      </c>
      <c r="BC14" s="37" t="str">
        <f t="shared" si="6"/>
        <v/>
      </c>
      <c r="BD14" s="37" t="str">
        <f t="shared" si="6"/>
        <v/>
      </c>
      <c r="BE14" s="37" t="str">
        <f t="shared" si="6"/>
        <v/>
      </c>
      <c r="BF14" s="37" t="str">
        <f t="shared" si="6"/>
        <v/>
      </c>
      <c r="BG14" s="37" t="str">
        <f t="shared" si="6"/>
        <v/>
      </c>
      <c r="BH14" s="37" t="str">
        <f t="shared" si="7"/>
        <v/>
      </c>
      <c r="BI14" s="37" t="str">
        <f t="shared" si="7"/>
        <v/>
      </c>
      <c r="BJ14" s="37" t="str">
        <f t="shared" si="7"/>
        <v/>
      </c>
      <c r="BK14" s="37" t="str">
        <f t="shared" si="7"/>
        <v/>
      </c>
      <c r="BL14" s="37" t="str">
        <f t="shared" si="7"/>
        <v/>
      </c>
      <c r="BM14" s="37" t="str">
        <f t="shared" si="7"/>
        <v/>
      </c>
      <c r="BN14" s="37" t="str">
        <f t="shared" si="7"/>
        <v/>
      </c>
      <c r="BO14" s="37" t="str">
        <f t="shared" si="7"/>
        <v/>
      </c>
      <c r="BP14" s="37" t="str">
        <f t="shared" si="7"/>
        <v/>
      </c>
      <c r="BQ14" s="37" t="str">
        <f t="shared" si="7"/>
        <v/>
      </c>
      <c r="BR14" s="37" t="str">
        <f t="shared" si="7"/>
        <v/>
      </c>
      <c r="BS14" s="37" t="str">
        <f t="shared" si="7"/>
        <v/>
      </c>
      <c r="BT14" s="104">
        <f t="shared" si="9"/>
        <v>2737350</v>
      </c>
    </row>
    <row r="15" spans="1:73" ht="16.95" customHeight="1">
      <c r="A15" s="604" t="s">
        <v>111</v>
      </c>
      <c r="B15" s="605" t="str">
        <f>INDEX('W-Storage'!$C$4:$C$11,MATCH(Table195781011121314236172728151617187202325[[#This Row],[a]],'W-Storage'!$B$4:$B$11,0))</f>
        <v>450 mm South Okotoks Twin Supply Mains</v>
      </c>
      <c r="C15" s="588">
        <f>INDEX('W-Storage'!$F$6:$F$10,MATCH(Table195781011121314236172728151617187202325[[#This Row],[a]],'W-Storage'!$B$6:$B$10,0))</f>
        <v>2027</v>
      </c>
      <c r="D15" s="589">
        <f>INDEX('W-Storage'!$G$6:$G$10,MATCH(Table195781011121314236172728151617187202325[[#This Row],[a]],'W-Storage'!$B$6:$B$10,0))</f>
        <v>2027</v>
      </c>
      <c r="E15" s="590">
        <f>(D15-C15)+1</f>
        <v>1</v>
      </c>
      <c r="F15" s="591">
        <f>INDEX('W-Storage'!$K$6:$K$10,MATCH(Table195781011121314236172728151617187202325[[#This Row],[a]],'W-Storage'!$B$6:$B$10,0))</f>
        <v>926725</v>
      </c>
      <c r="G15" s="592"/>
      <c r="H15" s="593">
        <f>+Table195781011121314236172728151617187202325[[#This Row],[f]]-Table195781011121314236172728151617187202325[[#This Row],[g]]</f>
        <v>926725</v>
      </c>
      <c r="I15" s="594">
        <f>INDEX('W-Storage'!$H$6:$H$10,MATCH(Table195781011121314236172728151617187202325[[#This Row],[a]],'W-Storage'!$B$6:$B$10,0))</f>
        <v>0.71099999999999997</v>
      </c>
      <c r="J15" s="595">
        <f>1-Table195781011121314236172728151617187202325[[#This Row],[i]]</f>
        <v>0.28900000000000003</v>
      </c>
      <c r="K15" s="587">
        <f>(Table195781011121314236172728151617187202325[[#This Row],[h]]*Table195781011121314236172728151617187202325[[#This Row],[i]])</f>
        <v>658901.47499999998</v>
      </c>
      <c r="L15" s="37" t="str">
        <f>IF(AND(L$10=$C15,L$10=$D15),(($K15/$E15)*L$6),IF(AND(L$10&gt;=$C15,L$10&lt;=$D15),(($K15/$E15)*L$6),""))</f>
        <v/>
      </c>
      <c r="M15" s="37">
        <f>IF(AND(M$10=$C15,M$10=$D15),(($K15/$E15)*M$6),IF(AND(M$10&gt;=$C15,M$10&lt;=$D15),(($K15/$E15)*M$6),""))</f>
        <v>675374.01187499997</v>
      </c>
      <c r="N15" s="37" t="str">
        <f t="shared" si="4"/>
        <v/>
      </c>
      <c r="O15" s="37" t="str">
        <f t="shared" si="4"/>
        <v/>
      </c>
      <c r="P15" s="37" t="str">
        <f t="shared" si="4"/>
        <v/>
      </c>
      <c r="Q15" s="37" t="str">
        <f t="shared" si="4"/>
        <v/>
      </c>
      <c r="R15" s="37" t="str">
        <f t="shared" si="4"/>
        <v/>
      </c>
      <c r="S15" s="37" t="str">
        <f t="shared" si="4"/>
        <v/>
      </c>
      <c r="T15" s="37" t="str">
        <f t="shared" si="4"/>
        <v/>
      </c>
      <c r="U15" s="37" t="str">
        <f t="shared" si="4"/>
        <v/>
      </c>
      <c r="V15" s="37" t="str">
        <f t="shared" si="4"/>
        <v/>
      </c>
      <c r="W15" s="37" t="str">
        <f t="shared" si="4"/>
        <v/>
      </c>
      <c r="X15" s="37" t="str">
        <f t="shared" si="4"/>
        <v/>
      </c>
      <c r="Y15" s="37" t="str">
        <f t="shared" si="4"/>
        <v/>
      </c>
      <c r="Z15" s="37" t="str">
        <f t="shared" si="4"/>
        <v/>
      </c>
      <c r="AA15" s="37" t="str">
        <f t="shared" si="4"/>
        <v/>
      </c>
      <c r="AB15" s="37" t="str">
        <f t="shared" si="5"/>
        <v/>
      </c>
      <c r="AC15" s="37" t="str">
        <f t="shared" si="5"/>
        <v/>
      </c>
      <c r="AD15" s="37" t="str">
        <f t="shared" si="5"/>
        <v/>
      </c>
      <c r="AE15" s="37" t="str">
        <f t="shared" si="5"/>
        <v/>
      </c>
      <c r="AF15" s="37" t="str">
        <f t="shared" si="5"/>
        <v/>
      </c>
      <c r="AG15" s="37" t="str">
        <f t="shared" si="5"/>
        <v/>
      </c>
      <c r="AH15" s="37" t="str">
        <f t="shared" si="5"/>
        <v/>
      </c>
      <c r="AI15" s="37" t="str">
        <f t="shared" si="5"/>
        <v/>
      </c>
      <c r="AJ15" s="37" t="str">
        <f t="shared" si="5"/>
        <v/>
      </c>
      <c r="AK15" s="37" t="str">
        <f t="shared" si="5"/>
        <v/>
      </c>
      <c r="AL15" s="37" t="str">
        <f t="shared" si="5"/>
        <v/>
      </c>
      <c r="AM15" s="37" t="str">
        <f t="shared" si="5"/>
        <v/>
      </c>
      <c r="AN15" s="37" t="str">
        <f t="shared" si="5"/>
        <v/>
      </c>
      <c r="AO15" s="37" t="str">
        <f t="shared" si="5"/>
        <v/>
      </c>
      <c r="AP15" s="37" t="str">
        <f t="shared" si="5"/>
        <v/>
      </c>
      <c r="AQ15" s="37" t="str">
        <f t="shared" si="5"/>
        <v/>
      </c>
      <c r="AR15" s="37" t="str">
        <f t="shared" si="6"/>
        <v/>
      </c>
      <c r="AS15" s="37" t="str">
        <f t="shared" si="6"/>
        <v/>
      </c>
      <c r="AT15" s="37" t="str">
        <f t="shared" si="6"/>
        <v/>
      </c>
      <c r="AU15" s="37" t="str">
        <f t="shared" si="6"/>
        <v/>
      </c>
      <c r="AV15" s="37" t="str">
        <f t="shared" si="6"/>
        <v/>
      </c>
      <c r="AW15" s="37" t="str">
        <f t="shared" si="6"/>
        <v/>
      </c>
      <c r="AX15" s="37" t="str">
        <f t="shared" si="6"/>
        <v/>
      </c>
      <c r="AY15" s="37" t="str">
        <f t="shared" si="6"/>
        <v/>
      </c>
      <c r="AZ15" s="37" t="str">
        <f t="shared" si="6"/>
        <v/>
      </c>
      <c r="BA15" s="37" t="str">
        <f t="shared" si="6"/>
        <v/>
      </c>
      <c r="BB15" s="37" t="str">
        <f t="shared" si="6"/>
        <v/>
      </c>
      <c r="BC15" s="37" t="str">
        <f t="shared" si="6"/>
        <v/>
      </c>
      <c r="BD15" s="37" t="str">
        <f t="shared" si="6"/>
        <v/>
      </c>
      <c r="BE15" s="37" t="str">
        <f t="shared" si="6"/>
        <v/>
      </c>
      <c r="BF15" s="37" t="str">
        <f t="shared" si="6"/>
        <v/>
      </c>
      <c r="BG15" s="37" t="str">
        <f t="shared" si="6"/>
        <v/>
      </c>
      <c r="BH15" s="37" t="str">
        <f t="shared" si="7"/>
        <v/>
      </c>
      <c r="BI15" s="37" t="str">
        <f t="shared" si="7"/>
        <v/>
      </c>
      <c r="BJ15" s="37" t="str">
        <f t="shared" si="7"/>
        <v/>
      </c>
      <c r="BK15" s="37" t="str">
        <f t="shared" si="7"/>
        <v/>
      </c>
      <c r="BL15" s="37" t="str">
        <f t="shared" si="7"/>
        <v/>
      </c>
      <c r="BM15" s="37" t="str">
        <f t="shared" si="7"/>
        <v/>
      </c>
      <c r="BN15" s="37" t="str">
        <f t="shared" si="7"/>
        <v/>
      </c>
      <c r="BO15" s="37" t="str">
        <f t="shared" si="7"/>
        <v/>
      </c>
      <c r="BP15" s="37" t="str">
        <f t="shared" si="7"/>
        <v/>
      </c>
      <c r="BQ15" s="37" t="str">
        <f t="shared" si="7"/>
        <v/>
      </c>
      <c r="BR15" s="37" t="str">
        <f t="shared" si="7"/>
        <v/>
      </c>
      <c r="BS15" s="37" t="str">
        <f t="shared" si="7"/>
        <v/>
      </c>
      <c r="BT15" s="104">
        <f t="shared" si="9"/>
        <v>675374.01187499997</v>
      </c>
    </row>
    <row r="16" spans="1:73" ht="16.95" customHeight="1" thickBot="1">
      <c r="A16" s="637" t="s">
        <v>270</v>
      </c>
      <c r="B16" s="662" t="str">
        <f>INDEX('W-Storage'!$C$4:$C$11,MATCH(Table195781011121314236172728151617187202325[[#This Row],[a]],'W-Storage'!$B$4:$B$11,0))</f>
        <v>450 mm South Okotoks Twin Supply Mains</v>
      </c>
      <c r="C16" s="588">
        <f>INDEX('W-Storage'!$F$6:$F$10,MATCH(Table195781011121314236172728151617187202325[[#This Row],[a]],'W-Storage'!$B$6:$B$10,0))</f>
        <v>2027</v>
      </c>
      <c r="D16" s="589">
        <f>INDEX('W-Storage'!$G$6:$G$10,MATCH(Table195781011121314236172728151617187202325[[#This Row],[a]],'W-Storage'!$B$6:$B$10,0))</f>
        <v>2028</v>
      </c>
      <c r="E16" s="590">
        <f>(D16-C16)+1</f>
        <v>2</v>
      </c>
      <c r="F16" s="591">
        <f>INDEX('W-Storage'!$K$6:$K$10,MATCH(Table195781011121314236172728151617187202325[[#This Row],[a]],'W-Storage'!$B$6:$B$10,0))</f>
        <v>486155.5</v>
      </c>
      <c r="G16" s="592"/>
      <c r="H16" s="593">
        <f>+Table195781011121314236172728151617187202325[[#This Row],[f]]-Table195781011121314236172728151617187202325[[#This Row],[g]]</f>
        <v>486155.5</v>
      </c>
      <c r="I16" s="594">
        <f>INDEX('W-Storage'!$H$6:$H$10,MATCH(Table195781011121314236172728151617187202325[[#This Row],[a]],'W-Storage'!$B$6:$B$10,0))</f>
        <v>0.71099999999999997</v>
      </c>
      <c r="J16" s="595">
        <f>1-Table195781011121314236172728151617187202325[[#This Row],[i]]</f>
        <v>0.28900000000000003</v>
      </c>
      <c r="K16" s="587">
        <f>(Table195781011121314236172728151617187202325[[#This Row],[h]]*Table195781011121314236172728151617187202325[[#This Row],[i]])</f>
        <v>345656.56049999996</v>
      </c>
      <c r="L16" s="37" t="str">
        <f>IF(AND(L$10=$C16,L$10=$D16),(($K16/$E16)*L$6),IF(AND(L$10&gt;=$C16,L$10&lt;=$D16),(($K16/$E16)*L$6),""))</f>
        <v/>
      </c>
      <c r="M16" s="37">
        <f>IF(AND(M$10=$C16,M$10=$D16),(($K16/$E16)*M$6),IF(AND(M$10&gt;=$C16,M$10&lt;=$D16),(($K16/$E16)*M$6),""))</f>
        <v>177148.98725624997</v>
      </c>
      <c r="N16" s="37">
        <f t="shared" si="4"/>
        <v>181577.71193765622</v>
      </c>
      <c r="O16" s="37" t="str">
        <f t="shared" si="4"/>
        <v/>
      </c>
      <c r="P16" s="37" t="str">
        <f t="shared" si="4"/>
        <v/>
      </c>
      <c r="Q16" s="37" t="str">
        <f t="shared" si="4"/>
        <v/>
      </c>
      <c r="R16" s="37" t="str">
        <f t="shared" si="4"/>
        <v/>
      </c>
      <c r="S16" s="37" t="str">
        <f t="shared" si="4"/>
        <v/>
      </c>
      <c r="T16" s="37" t="str">
        <f t="shared" si="4"/>
        <v/>
      </c>
      <c r="U16" s="37" t="str">
        <f t="shared" si="4"/>
        <v/>
      </c>
      <c r="V16" s="37" t="str">
        <f t="shared" si="4"/>
        <v/>
      </c>
      <c r="W16" s="37" t="str">
        <f t="shared" si="4"/>
        <v/>
      </c>
      <c r="X16" s="37" t="str">
        <f t="shared" si="4"/>
        <v/>
      </c>
      <c r="Y16" s="37" t="str">
        <f t="shared" si="4"/>
        <v/>
      </c>
      <c r="Z16" s="37" t="str">
        <f t="shared" si="4"/>
        <v/>
      </c>
      <c r="AA16" s="37" t="str">
        <f t="shared" si="4"/>
        <v/>
      </c>
      <c r="AB16" s="37" t="str">
        <f t="shared" si="5"/>
        <v/>
      </c>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104">
        <f t="shared" si="9"/>
        <v>358726.69919390616</v>
      </c>
    </row>
    <row r="17" spans="1:72" ht="15.6" thickTop="1" thickBot="1">
      <c r="A17" s="6"/>
      <c r="B17" s="6"/>
      <c r="C17" s="6"/>
      <c r="D17" s="6"/>
      <c r="E17" s="6"/>
      <c r="F17" s="12">
        <f>SUM(Table195781011121314236172728151617187202325[f])</f>
        <v>13646656.750502925</v>
      </c>
      <c r="G17" s="12"/>
      <c r="H17" s="12"/>
      <c r="I17" s="12"/>
      <c r="J17" s="12"/>
      <c r="K17" s="7">
        <f>SUM(Table195781011121314236172728151617187202325[k])</f>
        <v>10304393.016471675</v>
      </c>
      <c r="L17" s="7">
        <f>+SUM(L12:L16)</f>
        <v>3510019.0234374995</v>
      </c>
      <c r="M17" s="7">
        <f t="shared" ref="M17:AB17" si="10">+SUM(M12:M16)</f>
        <v>2732156.2127611008</v>
      </c>
      <c r="N17" s="7">
        <f t="shared" si="10"/>
        <v>2108201.7559082536</v>
      </c>
      <c r="O17" s="7">
        <f t="shared" si="10"/>
        <v>1142709.6175021138</v>
      </c>
      <c r="P17" s="7">
        <f t="shared" si="10"/>
        <v>1171277.3579396664</v>
      </c>
      <c r="Q17" s="7">
        <f t="shared" si="10"/>
        <v>0</v>
      </c>
      <c r="R17" s="7">
        <f t="shared" si="10"/>
        <v>0</v>
      </c>
      <c r="S17" s="7">
        <f t="shared" si="10"/>
        <v>0</v>
      </c>
      <c r="T17" s="7">
        <f t="shared" si="10"/>
        <v>0</v>
      </c>
      <c r="U17" s="7">
        <f t="shared" si="10"/>
        <v>0</v>
      </c>
      <c r="V17" s="7">
        <f t="shared" si="10"/>
        <v>0</v>
      </c>
      <c r="W17" s="7">
        <f t="shared" si="10"/>
        <v>0</v>
      </c>
      <c r="X17" s="7">
        <f t="shared" si="10"/>
        <v>0</v>
      </c>
      <c r="Y17" s="7">
        <f t="shared" si="10"/>
        <v>0</v>
      </c>
      <c r="Z17" s="7">
        <f t="shared" si="10"/>
        <v>0</v>
      </c>
      <c r="AA17" s="7">
        <f t="shared" si="10"/>
        <v>0</v>
      </c>
      <c r="AB17" s="7">
        <f t="shared" si="10"/>
        <v>0</v>
      </c>
      <c r="AC17" s="7">
        <f t="shared" ref="AC17:AQ17" si="11">+SUM(AC12:AC15)</f>
        <v>0</v>
      </c>
      <c r="AD17" s="7">
        <f t="shared" si="11"/>
        <v>0</v>
      </c>
      <c r="AE17" s="7">
        <f t="shared" si="11"/>
        <v>0</v>
      </c>
      <c r="AF17" s="7">
        <f t="shared" si="11"/>
        <v>0</v>
      </c>
      <c r="AG17" s="7">
        <f t="shared" si="11"/>
        <v>0</v>
      </c>
      <c r="AH17" s="7">
        <f t="shared" si="11"/>
        <v>0</v>
      </c>
      <c r="AI17" s="7">
        <f t="shared" si="11"/>
        <v>0</v>
      </c>
      <c r="AJ17" s="7">
        <f t="shared" si="11"/>
        <v>0</v>
      </c>
      <c r="AK17" s="7">
        <f t="shared" si="11"/>
        <v>0</v>
      </c>
      <c r="AL17" s="7">
        <f t="shared" si="11"/>
        <v>0</v>
      </c>
      <c r="AM17" s="7">
        <f t="shared" si="11"/>
        <v>0</v>
      </c>
      <c r="AN17" s="7">
        <f t="shared" si="11"/>
        <v>0</v>
      </c>
      <c r="AO17" s="7">
        <f t="shared" si="11"/>
        <v>0</v>
      </c>
      <c r="AP17" s="7">
        <f t="shared" si="11"/>
        <v>0</v>
      </c>
      <c r="AQ17" s="7">
        <f t="shared" si="11"/>
        <v>0</v>
      </c>
      <c r="AR17" s="7">
        <f t="shared" ref="AR17:BS17" si="12">+SUM(AR12:AR15)</f>
        <v>0</v>
      </c>
      <c r="AS17" s="7">
        <f t="shared" si="12"/>
        <v>0</v>
      </c>
      <c r="AT17" s="7">
        <f t="shared" si="12"/>
        <v>0</v>
      </c>
      <c r="AU17" s="7">
        <f t="shared" si="12"/>
        <v>0</v>
      </c>
      <c r="AV17" s="7">
        <f t="shared" si="12"/>
        <v>0</v>
      </c>
      <c r="AW17" s="7">
        <f t="shared" si="12"/>
        <v>0</v>
      </c>
      <c r="AX17" s="7">
        <f t="shared" si="12"/>
        <v>0</v>
      </c>
      <c r="AY17" s="7">
        <f t="shared" si="12"/>
        <v>0</v>
      </c>
      <c r="AZ17" s="7">
        <f t="shared" si="12"/>
        <v>0</v>
      </c>
      <c r="BA17" s="7">
        <f t="shared" si="12"/>
        <v>0</v>
      </c>
      <c r="BB17" s="7">
        <f t="shared" si="12"/>
        <v>0</v>
      </c>
      <c r="BC17" s="7">
        <f t="shared" si="12"/>
        <v>0</v>
      </c>
      <c r="BD17" s="7">
        <f t="shared" si="12"/>
        <v>0</v>
      </c>
      <c r="BE17" s="7">
        <f t="shared" si="12"/>
        <v>0</v>
      </c>
      <c r="BF17" s="7">
        <f t="shared" si="12"/>
        <v>0</v>
      </c>
      <c r="BG17" s="7">
        <f t="shared" si="12"/>
        <v>0</v>
      </c>
      <c r="BH17" s="7">
        <f t="shared" si="12"/>
        <v>0</v>
      </c>
      <c r="BI17" s="7">
        <f t="shared" si="12"/>
        <v>0</v>
      </c>
      <c r="BJ17" s="7">
        <f t="shared" si="12"/>
        <v>0</v>
      </c>
      <c r="BK17" s="7">
        <f t="shared" si="12"/>
        <v>0</v>
      </c>
      <c r="BL17" s="7">
        <f t="shared" si="12"/>
        <v>0</v>
      </c>
      <c r="BM17" s="7">
        <f t="shared" si="12"/>
        <v>0</v>
      </c>
      <c r="BN17" s="7">
        <f t="shared" si="12"/>
        <v>0</v>
      </c>
      <c r="BO17" s="7">
        <f t="shared" si="12"/>
        <v>0</v>
      </c>
      <c r="BP17" s="7">
        <f t="shared" si="12"/>
        <v>0</v>
      </c>
      <c r="BQ17" s="7">
        <f t="shared" si="12"/>
        <v>0</v>
      </c>
      <c r="BR17" s="7">
        <f t="shared" si="12"/>
        <v>0</v>
      </c>
      <c r="BS17" s="7">
        <f t="shared" si="12"/>
        <v>0</v>
      </c>
      <c r="BT17" s="7">
        <f>SUM(BT12:BT16)</f>
        <v>10664363.967548635</v>
      </c>
    </row>
    <row r="20" spans="1:72" ht="15" thickBot="1">
      <c r="G20"/>
      <c r="H20"/>
      <c r="I20"/>
    </row>
    <row r="21" spans="1:72">
      <c r="A21" s="93"/>
      <c r="B21" s="17">
        <v>1</v>
      </c>
      <c r="C21" s="18">
        <v>2</v>
      </c>
      <c r="D21" s="18">
        <v>3</v>
      </c>
      <c r="E21" s="18">
        <v>4</v>
      </c>
      <c r="F21" s="18">
        <v>5</v>
      </c>
      <c r="G21" s="18">
        <v>6</v>
      </c>
      <c r="H21" s="18"/>
      <c r="I21" s="18">
        <v>7</v>
      </c>
      <c r="J21" s="18">
        <v>8</v>
      </c>
      <c r="K21" s="18">
        <v>9</v>
      </c>
      <c r="L21" s="22">
        <v>10</v>
      </c>
      <c r="M21" s="23">
        <v>11</v>
      </c>
      <c r="N21" s="24">
        <v>12</v>
      </c>
    </row>
    <row r="22" spans="1:72" ht="18.75" customHeight="1">
      <c r="A22" s="94"/>
      <c r="B22" s="63" t="s">
        <v>39</v>
      </c>
      <c r="C22" s="736" t="s">
        <v>38</v>
      </c>
      <c r="D22" s="736" t="s">
        <v>198</v>
      </c>
      <c r="E22" s="736" t="s">
        <v>203</v>
      </c>
      <c r="F22" s="736" t="s">
        <v>180</v>
      </c>
      <c r="G22" s="742" t="s">
        <v>37</v>
      </c>
      <c r="H22" s="742" t="s">
        <v>52</v>
      </c>
      <c r="I22" s="200">
        <v>19566.35089783412</v>
      </c>
      <c r="J22" s="764" t="s">
        <v>36</v>
      </c>
      <c r="K22" s="736" t="s">
        <v>35</v>
      </c>
      <c r="L22" s="740" t="s">
        <v>204</v>
      </c>
      <c r="M22" s="741"/>
      <c r="N22" s="743" t="s">
        <v>34</v>
      </c>
    </row>
    <row r="23" spans="1:72">
      <c r="A23" s="94"/>
      <c r="B23" s="63"/>
      <c r="C23" s="736"/>
      <c r="D23" s="736"/>
      <c r="E23" s="736"/>
      <c r="F23" s="736"/>
      <c r="G23" s="742"/>
      <c r="H23" s="742"/>
      <c r="I23" s="615"/>
      <c r="J23" s="764"/>
      <c r="K23" s="736"/>
      <c r="L23" s="740"/>
      <c r="M23" s="741"/>
      <c r="N23" s="743"/>
    </row>
    <row r="24" spans="1:72">
      <c r="A24" s="93"/>
      <c r="B24" s="19"/>
      <c r="C24" s="736"/>
      <c r="D24" s="736"/>
      <c r="E24" s="736"/>
      <c r="F24" s="736"/>
      <c r="G24" s="742"/>
      <c r="H24" s="742"/>
      <c r="I24" s="20"/>
      <c r="J24" s="20"/>
      <c r="K24" s="736"/>
      <c r="L24" s="16"/>
      <c r="M24" s="15"/>
      <c r="N24" s="743"/>
    </row>
    <row r="25" spans="1:72">
      <c r="A25" s="93"/>
      <c r="B25" s="19"/>
      <c r="C25" s="47"/>
      <c r="D25" s="736"/>
      <c r="E25" s="47"/>
      <c r="F25" s="170"/>
      <c r="G25" s="20"/>
      <c r="H25" s="20"/>
      <c r="I25" s="75"/>
      <c r="J25" s="20"/>
      <c r="K25" s="20"/>
      <c r="L25" s="46" t="s">
        <v>7</v>
      </c>
      <c r="M25" s="76" t="s">
        <v>8</v>
      </c>
      <c r="N25" s="743"/>
    </row>
    <row r="26" spans="1:72">
      <c r="A26" s="95"/>
      <c r="B26" s="77"/>
      <c r="C26" s="47"/>
      <c r="D26" s="170" t="s">
        <v>7</v>
      </c>
      <c r="E26" s="47" t="s">
        <v>8</v>
      </c>
      <c r="F26" s="170" t="s">
        <v>8</v>
      </c>
      <c r="G26" s="20"/>
      <c r="H26" s="20"/>
      <c r="I26" s="78" t="s">
        <v>11</v>
      </c>
      <c r="J26" s="198" t="s">
        <v>7</v>
      </c>
      <c r="K26" s="20"/>
      <c r="L26" s="565">
        <f>Assumptions!$B$6</f>
        <v>2.6740000000000003E-2</v>
      </c>
      <c r="M26" s="79">
        <f>Assumptions!B7</f>
        <v>4.496E-2</v>
      </c>
      <c r="N26" s="743"/>
    </row>
    <row r="27" spans="1:72" ht="15" thickBot="1">
      <c r="A27" s="95"/>
      <c r="B27" s="182"/>
      <c r="C27" s="184"/>
      <c r="D27" s="183"/>
      <c r="E27" s="184"/>
      <c r="F27" s="185"/>
      <c r="G27" s="184"/>
      <c r="H27" s="184"/>
      <c r="I27" s="184">
        <f>L10</f>
        <v>2026</v>
      </c>
      <c r="J27" s="186" t="s">
        <v>199</v>
      </c>
      <c r="K27" s="186" t="s">
        <v>200</v>
      </c>
      <c r="L27" s="187"/>
      <c r="M27" s="188"/>
      <c r="N27" s="189" t="s">
        <v>201</v>
      </c>
    </row>
    <row r="28" spans="1:72" ht="15" hidden="1" thickBot="1">
      <c r="B28" s="181"/>
      <c r="C28" s="190"/>
      <c r="D28" s="190"/>
      <c r="E28" s="190"/>
      <c r="F28" s="190"/>
      <c r="G28" s="191"/>
      <c r="H28" s="191"/>
      <c r="I28" s="190"/>
      <c r="J28" s="190"/>
      <c r="K28" s="190"/>
      <c r="L28" s="190"/>
      <c r="M28" s="190"/>
      <c r="N28" s="192"/>
    </row>
    <row r="29" spans="1:72" ht="15" hidden="1" thickBot="1">
      <c r="B29" s="154">
        <v>2023</v>
      </c>
      <c r="C29" s="145"/>
      <c r="D29" s="145"/>
      <c r="E29" s="145"/>
      <c r="F29" s="146"/>
      <c r="G29" s="147"/>
      <c r="H29" s="147"/>
      <c r="I29" s="148"/>
      <c r="J29" s="146"/>
      <c r="K29" s="146"/>
      <c r="L29" s="146"/>
      <c r="M29" s="179"/>
      <c r="N29" s="180"/>
    </row>
    <row r="30" spans="1:72" ht="15" hidden="1" thickBot="1">
      <c r="B30" s="154">
        <f t="shared" ref="B30:B66" si="13">+B29+1</f>
        <v>2024</v>
      </c>
      <c r="C30" s="148"/>
      <c r="D30" s="148"/>
      <c r="E30" s="148"/>
      <c r="F30" s="146"/>
      <c r="G30" s="149"/>
      <c r="H30" s="150"/>
      <c r="I30" s="148"/>
      <c r="J30" s="148"/>
      <c r="K30" s="146"/>
      <c r="L30" s="146"/>
      <c r="M30" s="179"/>
      <c r="N30" s="180"/>
    </row>
    <row r="31" spans="1:72" ht="15" hidden="1" thickBot="1">
      <c r="A31" s="96"/>
      <c r="B31" s="220">
        <f t="shared" si="13"/>
        <v>2025</v>
      </c>
      <c r="C31" s="201"/>
      <c r="D31" s="201"/>
      <c r="E31" s="201"/>
      <c r="F31" s="201"/>
      <c r="G31" s="202"/>
      <c r="H31" s="203"/>
      <c r="I31" s="130"/>
      <c r="J31" s="201"/>
      <c r="K31" s="201"/>
      <c r="L31" s="201"/>
      <c r="M31" s="204"/>
      <c r="N31" s="219"/>
      <c r="P31" s="13"/>
    </row>
    <row r="32" spans="1:72">
      <c r="A32" s="96"/>
      <c r="B32" s="205">
        <f t="shared" si="13"/>
        <v>2026</v>
      </c>
      <c r="C32" s="230">
        <f>Assumptions!B34</f>
        <v>0</v>
      </c>
      <c r="D32" s="216">
        <v>0</v>
      </c>
      <c r="E32" s="216">
        <v>0</v>
      </c>
      <c r="F32" s="208">
        <f ca="1">OFFSET($L$17,0,B32-Assumptions!$B$3)</f>
        <v>3510019.0234374995</v>
      </c>
      <c r="G32" s="233">
        <f>'Cost Recovery Timing'!T15</f>
        <v>18.475999999999999</v>
      </c>
      <c r="H32" s="206">
        <f>Assumptions!$B$23</f>
        <v>0.02</v>
      </c>
      <c r="I32" s="211">
        <f>+I22</f>
        <v>19566.35089783412</v>
      </c>
      <c r="J32" s="228">
        <f>(G32*I32*Assumptions!$B$28)+(G31*I31*Assumptions!$B$27)+(G30*I30*Assumptions!$B$26)</f>
        <v>108452.36975651495</v>
      </c>
      <c r="K32" s="208">
        <f t="shared" ref="K32:K66" ca="1" si="14">+C32+J32-F32</f>
        <v>-3401566.6536809844</v>
      </c>
      <c r="L32" s="208">
        <f ca="1">IF(K32&lt;0,0,+K32*$L$26)</f>
        <v>0</v>
      </c>
      <c r="M32" s="212">
        <f ca="1">IF(K32&lt;0,+K32*$M$26,0)</f>
        <v>-152934.43674949705</v>
      </c>
      <c r="N32" s="213">
        <f t="shared" ref="N32:N35" ca="1" si="15">+L32+K32+M32</f>
        <v>-3554501.0904304814</v>
      </c>
      <c r="P32" s="42"/>
    </row>
    <row r="33" spans="1:16">
      <c r="A33" s="96"/>
      <c r="B33" s="154">
        <f t="shared" si="13"/>
        <v>2027</v>
      </c>
      <c r="C33" s="172">
        <f t="shared" ref="C33:C66" ca="1" si="16">+N32</f>
        <v>-3554501.0904304814</v>
      </c>
      <c r="D33" s="172">
        <v>0</v>
      </c>
      <c r="E33" s="172">
        <v>0</v>
      </c>
      <c r="F33" s="173">
        <f ca="1">OFFSET($L$17,0,B33-Assumptions!$B$3)</f>
        <v>2732156.2127611008</v>
      </c>
      <c r="G33" s="234">
        <f>'Cost Recovery Timing'!T16</f>
        <v>28.58</v>
      </c>
      <c r="H33" s="165">
        <f>Assumptions!$B$23</f>
        <v>0.02</v>
      </c>
      <c r="I33" s="173">
        <f>+IF(B33&gt;$B$57,0,I32*(1+$H33))</f>
        <v>19957.677915790802</v>
      </c>
      <c r="J33" s="173">
        <f>(G33*I33*Assumptions!$B$28)+(G32*I32*Assumptions!$B$27)+(G31*I31*Assumptions!$B$26)</f>
        <v>279569.5002065053</v>
      </c>
      <c r="K33" s="173">
        <f t="shared" ca="1" si="14"/>
        <v>-6007087.8029850768</v>
      </c>
      <c r="L33" s="173">
        <f t="shared" ref="L33:L66" ca="1" si="17">IF(K33&lt;0,0,+K33*$L$26)</f>
        <v>0</v>
      </c>
      <c r="M33" s="174">
        <f ca="1">IF(K33&lt;0,+K33*$M$26,0)</f>
        <v>-270078.66762220906</v>
      </c>
      <c r="N33" s="195">
        <f t="shared" ca="1" si="15"/>
        <v>-6277166.4706072863</v>
      </c>
      <c r="P33" s="42"/>
    </row>
    <row r="34" spans="1:16">
      <c r="A34" s="96"/>
      <c r="B34" s="154">
        <f t="shared" si="13"/>
        <v>2028</v>
      </c>
      <c r="C34" s="172">
        <f t="shared" ca="1" si="16"/>
        <v>-6277166.4706072863</v>
      </c>
      <c r="D34" s="172">
        <v>0</v>
      </c>
      <c r="E34" s="172">
        <v>0</v>
      </c>
      <c r="F34" s="173">
        <f ca="1">OFFSET($L$17,0,B34-Assumptions!$B$3)</f>
        <v>2108201.7559082536</v>
      </c>
      <c r="G34" s="234">
        <f>'Cost Recovery Timing'!T17</f>
        <v>28.58</v>
      </c>
      <c r="H34" s="165">
        <f>Assumptions!$B$23</f>
        <v>0.02</v>
      </c>
      <c r="I34" s="173">
        <f t="shared" ref="I34:I66" si="18">+IF(B34&gt;$B$57,0,I33*(1+$H34))</f>
        <v>20356.831474106617</v>
      </c>
      <c r="J34" s="173">
        <f>(G34*I34*Assumptions!$B$28)+(G33*I33*Assumptions!$B$27)+(G32*I32*Assumptions!$B$26)</f>
        <v>490259.7631843338</v>
      </c>
      <c r="K34" s="173">
        <f t="shared" ca="1" si="14"/>
        <v>-7895108.4633312058</v>
      </c>
      <c r="L34" s="173">
        <f t="shared" ca="1" si="17"/>
        <v>0</v>
      </c>
      <c r="M34" s="174">
        <f t="shared" ref="M34:M66" ca="1" si="19">IF(K34&lt;0,+K34*$M$26,0)</f>
        <v>-354964.07651137101</v>
      </c>
      <c r="N34" s="195">
        <f t="shared" ca="1" si="15"/>
        <v>-8250072.5398425767</v>
      </c>
      <c r="P34" s="42"/>
    </row>
    <row r="35" spans="1:16">
      <c r="A35" s="96"/>
      <c r="B35" s="154">
        <f t="shared" si="13"/>
        <v>2029</v>
      </c>
      <c r="C35" s="172">
        <f t="shared" ca="1" si="16"/>
        <v>-8250072.5398425767</v>
      </c>
      <c r="D35" s="172">
        <v>0</v>
      </c>
      <c r="E35" s="172">
        <v>0</v>
      </c>
      <c r="F35" s="173">
        <f ca="1">OFFSET($L$17,0,B35-Assumptions!$B$3)</f>
        <v>1142709.6175021138</v>
      </c>
      <c r="G35" s="234">
        <f>'Cost Recovery Timing'!T18</f>
        <v>28.58</v>
      </c>
      <c r="H35" s="165">
        <f>Assumptions!$B$23</f>
        <v>0.02</v>
      </c>
      <c r="I35" s="173">
        <f t="shared" si="18"/>
        <v>20763.968103588748</v>
      </c>
      <c r="J35" s="173">
        <f>(G35*I35*Assumptions!$B$28)+(G34*I34*Assumptions!$B$27)+(G33*I33*Assumptions!$B$26)</f>
        <v>580725.90951248049</v>
      </c>
      <c r="K35" s="173">
        <f t="shared" ca="1" si="14"/>
        <v>-8812056.2478322089</v>
      </c>
      <c r="L35" s="173">
        <f t="shared" ca="1" si="17"/>
        <v>0</v>
      </c>
      <c r="M35" s="174">
        <f ca="1">IF(K35&lt;0,+K35*$M$26,0)</f>
        <v>-396190.0489025361</v>
      </c>
      <c r="N35" s="195">
        <f t="shared" ca="1" si="15"/>
        <v>-9208246.2967347447</v>
      </c>
      <c r="P35" s="42"/>
    </row>
    <row r="36" spans="1:16">
      <c r="A36" s="96"/>
      <c r="B36" s="154">
        <f t="shared" si="13"/>
        <v>2030</v>
      </c>
      <c r="C36" s="172">
        <f t="shared" ca="1" si="16"/>
        <v>-9208246.2967347447</v>
      </c>
      <c r="D36" s="172">
        <v>0</v>
      </c>
      <c r="E36" s="172">
        <v>0</v>
      </c>
      <c r="F36" s="173">
        <f ca="1">OFFSET($L$17,0,B36-Assumptions!$B$3)</f>
        <v>1171277.3579396664</v>
      </c>
      <c r="G36" s="234">
        <f>'Cost Recovery Timing'!T19</f>
        <v>28.58</v>
      </c>
      <c r="H36" s="165">
        <f>Assumptions!$B$23</f>
        <v>0.02</v>
      </c>
      <c r="I36" s="173">
        <f t="shared" si="18"/>
        <v>21179.247465660523</v>
      </c>
      <c r="J36" s="173">
        <f>(G36*I36*Assumptions!$B$28)+(G35*I35*Assumptions!$B$27)+(G34*I34*Assumptions!$B$26)</f>
        <v>592340.42770273006</v>
      </c>
      <c r="K36" s="173">
        <f t="shared" ca="1" si="14"/>
        <v>-9787183.2269716803</v>
      </c>
      <c r="L36" s="173">
        <f t="shared" ca="1" si="17"/>
        <v>0</v>
      </c>
      <c r="M36" s="174">
        <f t="shared" ca="1" si="19"/>
        <v>-440031.75788464677</v>
      </c>
      <c r="N36" s="195">
        <f ca="1">+L36+K36+M36</f>
        <v>-10227214.984856326</v>
      </c>
      <c r="P36" s="42"/>
    </row>
    <row r="37" spans="1:16">
      <c r="A37" s="96"/>
      <c r="B37" s="154">
        <f t="shared" si="13"/>
        <v>2031</v>
      </c>
      <c r="C37" s="172">
        <f t="shared" ca="1" si="16"/>
        <v>-10227214.984856326</v>
      </c>
      <c r="D37" s="172">
        <v>0</v>
      </c>
      <c r="E37" s="172">
        <v>0</v>
      </c>
      <c r="F37" s="173">
        <f ca="1">OFFSET($L$17,0,B37-Assumptions!$B$3)</f>
        <v>0</v>
      </c>
      <c r="G37" s="234">
        <f>'Cost Recovery Timing'!T20</f>
        <v>28.58</v>
      </c>
      <c r="H37" s="165">
        <f>Assumptions!$B$23</f>
        <v>0.02</v>
      </c>
      <c r="I37" s="173">
        <f t="shared" si="18"/>
        <v>21602.832414973735</v>
      </c>
      <c r="J37" s="173">
        <f>(G37*I37*Assumptions!$B$28)+(G36*I36*Assumptions!$B$27)+(G35*I35*Assumptions!$B$26)</f>
        <v>604187.23625678464</v>
      </c>
      <c r="K37" s="173">
        <f t="shared" ca="1" si="14"/>
        <v>-9623027.7485995423</v>
      </c>
      <c r="L37" s="173">
        <f t="shared" ca="1" si="17"/>
        <v>0</v>
      </c>
      <c r="M37" s="174">
        <f t="shared" ca="1" si="19"/>
        <v>-432651.32757703541</v>
      </c>
      <c r="N37" s="195">
        <f t="shared" ref="N37:N44" ca="1" si="20">+L37+K37+M37</f>
        <v>-10055679.076176578</v>
      </c>
      <c r="P37" s="42"/>
    </row>
    <row r="38" spans="1:16">
      <c r="A38" s="96"/>
      <c r="B38" s="154">
        <f t="shared" si="13"/>
        <v>2032</v>
      </c>
      <c r="C38" s="172">
        <f t="shared" ca="1" si="16"/>
        <v>-10055679.076176578</v>
      </c>
      <c r="D38" s="172">
        <v>0</v>
      </c>
      <c r="E38" s="172">
        <v>0</v>
      </c>
      <c r="F38" s="173">
        <f ca="1">OFFSET($L$17,0,B38-Assumptions!$B$3)</f>
        <v>0</v>
      </c>
      <c r="G38" s="234">
        <f>'Cost Recovery Timing'!T21</f>
        <v>28.58</v>
      </c>
      <c r="H38" s="165">
        <f>Assumptions!$B$23</f>
        <v>0.02</v>
      </c>
      <c r="I38" s="173">
        <f t="shared" si="18"/>
        <v>22034.889063273211</v>
      </c>
      <c r="J38" s="173">
        <f>(G38*I38*Assumptions!$B$28)+(G37*I37*Assumptions!$B$27)+(G36*I36*Assumptions!$B$26)</f>
        <v>616270.98098192038</v>
      </c>
      <c r="K38" s="173">
        <f t="shared" ca="1" si="14"/>
        <v>-9439408.0951946583</v>
      </c>
      <c r="L38" s="173">
        <f t="shared" ca="1" si="17"/>
        <v>0</v>
      </c>
      <c r="M38" s="174">
        <f t="shared" ca="1" si="19"/>
        <v>-424395.78795995185</v>
      </c>
      <c r="N38" s="195">
        <f t="shared" ca="1" si="20"/>
        <v>-9863803.8831546102</v>
      </c>
      <c r="P38" s="42"/>
    </row>
    <row r="39" spans="1:16">
      <c r="A39" s="96"/>
      <c r="B39" s="154">
        <f t="shared" si="13"/>
        <v>2033</v>
      </c>
      <c r="C39" s="172">
        <f t="shared" ca="1" si="16"/>
        <v>-9863803.8831546102</v>
      </c>
      <c r="D39" s="172">
        <v>0</v>
      </c>
      <c r="E39" s="172">
        <v>0</v>
      </c>
      <c r="F39" s="173">
        <f ca="1">OFFSET($L$17,0,B39-Assumptions!$B$3)</f>
        <v>0</v>
      </c>
      <c r="G39" s="234">
        <f>'Cost Recovery Timing'!T22</f>
        <v>28.58</v>
      </c>
      <c r="H39" s="165">
        <f>Assumptions!$B$23</f>
        <v>0.02</v>
      </c>
      <c r="I39" s="173">
        <f t="shared" si="18"/>
        <v>22475.586844538677</v>
      </c>
      <c r="J39" s="173">
        <f>(G39*I39*Assumptions!$B$28)+(G38*I38*Assumptions!$B$27)+(G37*I37*Assumptions!$B$26)</f>
        <v>628596.40060155885</v>
      </c>
      <c r="K39" s="173">
        <f t="shared" ca="1" si="14"/>
        <v>-9235207.4825530518</v>
      </c>
      <c r="L39" s="173">
        <f t="shared" ca="1" si="17"/>
        <v>0</v>
      </c>
      <c r="M39" s="174">
        <f t="shared" ca="1" si="19"/>
        <v>-415214.92841558519</v>
      </c>
      <c r="N39" s="195">
        <f t="shared" ca="1" si="20"/>
        <v>-9650422.4109686371</v>
      </c>
      <c r="P39" s="42"/>
    </row>
    <row r="40" spans="1:16">
      <c r="A40" s="96"/>
      <c r="B40" s="154">
        <f t="shared" si="13"/>
        <v>2034</v>
      </c>
      <c r="C40" s="172">
        <f t="shared" ca="1" si="16"/>
        <v>-9650422.4109686371</v>
      </c>
      <c r="D40" s="172">
        <v>0</v>
      </c>
      <c r="E40" s="172">
        <v>0</v>
      </c>
      <c r="F40" s="173">
        <f ca="1">OFFSET($L$17,0,B40-Assumptions!$B$3)</f>
        <v>0</v>
      </c>
      <c r="G40" s="234">
        <f>'Cost Recovery Timing'!T23</f>
        <v>28.58</v>
      </c>
      <c r="H40" s="165">
        <f>Assumptions!$B$23</f>
        <v>0.02</v>
      </c>
      <c r="I40" s="173">
        <f t="shared" si="18"/>
        <v>22925.098581429451</v>
      </c>
      <c r="J40" s="173">
        <f>(G40*I40*Assumptions!$B$28)+(G39*I39*Assumptions!$B$27)+(G38*I38*Assumptions!$B$26)</f>
        <v>641168.32861358998</v>
      </c>
      <c r="K40" s="175">
        <f t="shared" ca="1" si="14"/>
        <v>-9009254.0823550466</v>
      </c>
      <c r="L40" s="173">
        <f ca="1">IF(K40&lt;0,0,+K40*$L$26)</f>
        <v>0</v>
      </c>
      <c r="M40" s="174">
        <f ca="1">IF(K40&lt;0,+K40*$M$26,0)</f>
        <v>-405056.06354268291</v>
      </c>
      <c r="N40" s="195">
        <f t="shared" ca="1" si="20"/>
        <v>-9414310.1458977293</v>
      </c>
      <c r="P40" s="42"/>
    </row>
    <row r="41" spans="1:16">
      <c r="A41" s="96"/>
      <c r="B41" s="154">
        <f t="shared" si="13"/>
        <v>2035</v>
      </c>
      <c r="C41" s="172">
        <f t="shared" ca="1" si="16"/>
        <v>-9414310.1458977293</v>
      </c>
      <c r="D41" s="172">
        <v>0</v>
      </c>
      <c r="E41" s="172">
        <v>0</v>
      </c>
      <c r="F41" s="173">
        <f ca="1">OFFSET($L$17,0,B41-Assumptions!$B$3)</f>
        <v>0</v>
      </c>
      <c r="G41" s="234">
        <f>'Cost Recovery Timing'!T24</f>
        <v>28.58</v>
      </c>
      <c r="H41" s="165">
        <f>Assumptions!$B$23</f>
        <v>0.02</v>
      </c>
      <c r="I41" s="173">
        <f t="shared" si="18"/>
        <v>23383.600553058041</v>
      </c>
      <c r="J41" s="173">
        <f>(G41*I41*Assumptions!$B$28)+(G40*I40*Assumptions!$B$27)+(G39*I39*Assumptions!$B$26)</f>
        <v>653991.6951858619</v>
      </c>
      <c r="K41" s="175">
        <f t="shared" ca="1" si="14"/>
        <v>-8760318.4507118668</v>
      </c>
      <c r="L41" s="173">
        <f t="shared" ca="1" si="17"/>
        <v>0</v>
      </c>
      <c r="M41" s="174">
        <f t="shared" ca="1" si="19"/>
        <v>-393863.91754400556</v>
      </c>
      <c r="N41" s="195">
        <f t="shared" ca="1" si="20"/>
        <v>-9154182.3682558723</v>
      </c>
      <c r="P41" s="42"/>
    </row>
    <row r="42" spans="1:16">
      <c r="A42" s="96"/>
      <c r="B42" s="154">
        <f t="shared" si="13"/>
        <v>2036</v>
      </c>
      <c r="C42" s="172">
        <f t="shared" ca="1" si="16"/>
        <v>-9154182.3682558723</v>
      </c>
      <c r="D42" s="172">
        <v>0</v>
      </c>
      <c r="E42" s="172">
        <v>0</v>
      </c>
      <c r="F42" s="173">
        <f ca="1">OFFSET($L$17,0,B42-Assumptions!$B$3)</f>
        <v>0</v>
      </c>
      <c r="G42" s="234">
        <f>'Cost Recovery Timing'!T25</f>
        <v>28.58</v>
      </c>
      <c r="H42" s="165">
        <f>Assumptions!$B$23</f>
        <v>0.02</v>
      </c>
      <c r="I42" s="173">
        <f t="shared" si="18"/>
        <v>23851.272564119201</v>
      </c>
      <c r="J42" s="173">
        <f>(G42*I42*Assumptions!$B$28)+(G41*I41*Assumptions!$B$27)+(G40*I40*Assumptions!$B$26)</f>
        <v>667071.52908957913</v>
      </c>
      <c r="K42" s="175">
        <f t="shared" ca="1" si="14"/>
        <v>-8487110.8391662929</v>
      </c>
      <c r="L42" s="173">
        <f t="shared" ca="1" si="17"/>
        <v>0</v>
      </c>
      <c r="M42" s="174">
        <f ca="1">IF(K42&lt;0,+K42*$M$26,0)</f>
        <v>-381580.5033289165</v>
      </c>
      <c r="N42" s="195">
        <f t="shared" ca="1" si="20"/>
        <v>-8868691.3424952086</v>
      </c>
      <c r="P42" s="42"/>
    </row>
    <row r="43" spans="1:16">
      <c r="A43" s="96"/>
      <c r="B43" s="154">
        <f t="shared" si="13"/>
        <v>2037</v>
      </c>
      <c r="C43" s="172">
        <f t="shared" ca="1" si="16"/>
        <v>-8868691.3424952086</v>
      </c>
      <c r="D43" s="172">
        <v>0</v>
      </c>
      <c r="E43" s="172">
        <v>0</v>
      </c>
      <c r="F43" s="173">
        <f ca="1">OFFSET($L$17,0,B43-Assumptions!$B$3)</f>
        <v>0</v>
      </c>
      <c r="G43" s="234">
        <f>'Cost Recovery Timing'!T26</f>
        <v>28.58</v>
      </c>
      <c r="H43" s="165">
        <f>Assumptions!$B$23</f>
        <v>0.02</v>
      </c>
      <c r="I43" s="173">
        <f t="shared" si="18"/>
        <v>24328.298015401586</v>
      </c>
      <c r="J43" s="173">
        <f>(G43*I43*Assumptions!$B$28)+(G42*I42*Assumptions!$B$27)+(G41*I41*Assumptions!$B$26)</f>
        <v>680412.95967137069</v>
      </c>
      <c r="K43" s="175">
        <f t="shared" ca="1" si="14"/>
        <v>-8188278.3828238379</v>
      </c>
      <c r="L43" s="173">
        <f t="shared" ca="1" si="17"/>
        <v>0</v>
      </c>
      <c r="M43" s="174">
        <f t="shared" ca="1" si="19"/>
        <v>-368144.99609175976</v>
      </c>
      <c r="N43" s="195">
        <f t="shared" ca="1" si="20"/>
        <v>-8556423.3789155968</v>
      </c>
      <c r="P43" s="42"/>
    </row>
    <row r="44" spans="1:16">
      <c r="A44" s="96"/>
      <c r="B44" s="154">
        <f t="shared" si="13"/>
        <v>2038</v>
      </c>
      <c r="C44" s="172">
        <f t="shared" ca="1" si="16"/>
        <v>-8556423.3789155968</v>
      </c>
      <c r="D44" s="172">
        <v>0</v>
      </c>
      <c r="E44" s="172">
        <v>0</v>
      </c>
      <c r="F44" s="173">
        <f ca="1">OFFSET($L$17,0,B44-Assumptions!$B$3)</f>
        <v>0</v>
      </c>
      <c r="G44" s="234">
        <f>'Cost Recovery Timing'!T27</f>
        <v>28.58</v>
      </c>
      <c r="H44" s="165">
        <f>Assumptions!$B$23</f>
        <v>0.02</v>
      </c>
      <c r="I44" s="173">
        <f t="shared" si="18"/>
        <v>24814.863975709617</v>
      </c>
      <c r="J44" s="173">
        <f>(G44*I44*Assumptions!$B$28)+(G43*I43*Assumptions!$B$27)+(G42*I42*Assumptions!$B$26)</f>
        <v>694021.21886479808</v>
      </c>
      <c r="K44" s="175">
        <f t="shared" ca="1" si="14"/>
        <v>-7862402.1600507982</v>
      </c>
      <c r="L44" s="173">
        <f t="shared" ca="1" si="17"/>
        <v>0</v>
      </c>
      <c r="M44" s="174">
        <f t="shared" ca="1" si="19"/>
        <v>-353493.60111588391</v>
      </c>
      <c r="N44" s="195">
        <f t="shared" ca="1" si="20"/>
        <v>-8215895.7611666825</v>
      </c>
      <c r="P44" s="42"/>
    </row>
    <row r="45" spans="1:16">
      <c r="A45" s="96"/>
      <c r="B45" s="154">
        <f>+B44+1</f>
        <v>2039</v>
      </c>
      <c r="C45" s="172">
        <f t="shared" ca="1" si="16"/>
        <v>-8215895.7611666825</v>
      </c>
      <c r="D45" s="172">
        <v>0</v>
      </c>
      <c r="E45" s="172">
        <v>0</v>
      </c>
      <c r="F45" s="173">
        <f ca="1">OFFSET($L$17,0,B45-Assumptions!$B$3)</f>
        <v>0</v>
      </c>
      <c r="G45" s="234">
        <f>'Cost Recovery Timing'!T28</f>
        <v>28.58</v>
      </c>
      <c r="H45" s="165">
        <f>Assumptions!$B$23</f>
        <v>0.02</v>
      </c>
      <c r="I45" s="173">
        <f t="shared" si="18"/>
        <v>25311.161255223811</v>
      </c>
      <c r="J45" s="173">
        <f>(G45*I45*Assumptions!$B$28)+(G44*I44*Assumptions!$B$27)+(G43*I43*Assumptions!$B$26)</f>
        <v>707901.6432420942</v>
      </c>
      <c r="K45" s="175">
        <f t="shared" ca="1" si="14"/>
        <v>-7507994.1179245878</v>
      </c>
      <c r="L45" s="173">
        <f t="shared" ca="1" si="17"/>
        <v>0</v>
      </c>
      <c r="M45" s="174">
        <f t="shared" ca="1" si="19"/>
        <v>-337559.4155418895</v>
      </c>
      <c r="N45" s="195">
        <f ca="1">+L45+K45+M45</f>
        <v>-7845553.5334664769</v>
      </c>
      <c r="P45" s="42"/>
    </row>
    <row r="46" spans="1:16">
      <c r="A46" s="96"/>
      <c r="B46" s="154">
        <f t="shared" si="13"/>
        <v>2040</v>
      </c>
      <c r="C46" s="172">
        <f t="shared" ca="1" si="16"/>
        <v>-7845553.5334664769</v>
      </c>
      <c r="D46" s="172">
        <v>0</v>
      </c>
      <c r="E46" s="172">
        <v>0</v>
      </c>
      <c r="F46" s="173">
        <f ca="1">OFFSET($L$17,0,B46-Assumptions!$B$3)</f>
        <v>0</v>
      </c>
      <c r="G46" s="234">
        <f>'Cost Recovery Timing'!T29</f>
        <v>28.58</v>
      </c>
      <c r="H46" s="165">
        <f>Assumptions!$B$23</f>
        <v>0.02</v>
      </c>
      <c r="I46" s="173">
        <f t="shared" si="18"/>
        <v>25817.384480328288</v>
      </c>
      <c r="J46" s="173">
        <f>(G46*I46*Assumptions!$B$28)+(G45*I45*Assumptions!$B$27)+(G44*I44*Assumptions!$B$26)</f>
        <v>722059.67610693607</v>
      </c>
      <c r="K46" s="175">
        <f t="shared" ca="1" si="14"/>
        <v>-7123493.8573595406</v>
      </c>
      <c r="L46" s="173">
        <f t="shared" ca="1" si="17"/>
        <v>0</v>
      </c>
      <c r="M46" s="174">
        <f t="shared" ca="1" si="19"/>
        <v>-320272.28382688493</v>
      </c>
      <c r="N46" s="195">
        <f t="shared" ref="N46" ca="1" si="21">+L46+K46+M46</f>
        <v>-7443766.1411864255</v>
      </c>
      <c r="P46" s="42"/>
    </row>
    <row r="47" spans="1:16">
      <c r="A47" s="96"/>
      <c r="B47" s="154">
        <f>+B46+1</f>
        <v>2041</v>
      </c>
      <c r="C47" s="172">
        <f t="shared" ca="1" si="16"/>
        <v>-7443766.1411864255</v>
      </c>
      <c r="D47" s="172">
        <v>0</v>
      </c>
      <c r="E47" s="172">
        <v>0</v>
      </c>
      <c r="F47" s="173">
        <f ca="1">OFFSET($L$17,0,B47-Assumptions!$B$3)</f>
        <v>0</v>
      </c>
      <c r="G47" s="234">
        <f>'Cost Recovery Timing'!T30</f>
        <v>28.58</v>
      </c>
      <c r="H47" s="165">
        <f>Assumptions!$B$23</f>
        <v>0.02</v>
      </c>
      <c r="I47" s="173">
        <f t="shared" si="18"/>
        <v>26333.732169934854</v>
      </c>
      <c r="J47" s="173">
        <f>(G47*I47*Assumptions!$B$28)+(G46*I46*Assumptions!$B$27)+(G45*I45*Assumptions!$B$26)</f>
        <v>736500.86962907482</v>
      </c>
      <c r="K47" s="175">
        <f t="shared" ca="1" si="14"/>
        <v>-6707265.2715573506</v>
      </c>
      <c r="L47" s="175">
        <f t="shared" ca="1" si="17"/>
        <v>0</v>
      </c>
      <c r="M47" s="174">
        <f t="shared" ca="1" si="19"/>
        <v>-301558.6466092185</v>
      </c>
      <c r="N47" s="195">
        <f ca="1">+L47+K47+M47</f>
        <v>-7008823.9181665694</v>
      </c>
      <c r="P47" s="42"/>
    </row>
    <row r="48" spans="1:16">
      <c r="A48" s="96"/>
      <c r="B48" s="154">
        <f>+B47+1</f>
        <v>2042</v>
      </c>
      <c r="C48" s="172">
        <f t="shared" ca="1" si="16"/>
        <v>-7008823.9181665694</v>
      </c>
      <c r="D48" s="172">
        <v>0</v>
      </c>
      <c r="E48" s="172">
        <v>0</v>
      </c>
      <c r="F48" s="173">
        <f ca="1">OFFSET($L$17,0,B48-Assumptions!$B$3)</f>
        <v>0</v>
      </c>
      <c r="G48" s="234">
        <f>'Cost Recovery Timing'!T31</f>
        <v>28.58</v>
      </c>
      <c r="H48" s="165">
        <f>Assumptions!$B$23</f>
        <v>0.02</v>
      </c>
      <c r="I48" s="173">
        <f t="shared" si="18"/>
        <v>26860.406813333553</v>
      </c>
      <c r="J48" s="173">
        <f>(G48*I48*Assumptions!$B$28)+(G47*I47*Assumptions!$B$27)+(G46*I46*Assumptions!$B$26)</f>
        <v>751230.88702165626</v>
      </c>
      <c r="K48" s="175">
        <f t="shared" ca="1" si="14"/>
        <v>-6257593.0311449133</v>
      </c>
      <c r="L48" s="175">
        <f t="shared" ca="1" si="17"/>
        <v>0</v>
      </c>
      <c r="M48" s="174">
        <f t="shared" ca="1" si="19"/>
        <v>-281341.3826802753</v>
      </c>
      <c r="N48" s="195">
        <f ca="1">+L48+K48+M48</f>
        <v>-6538934.4138251888</v>
      </c>
      <c r="P48" s="42"/>
    </row>
    <row r="49" spans="1:17">
      <c r="A49" s="96"/>
      <c r="B49" s="154">
        <f t="shared" si="13"/>
        <v>2043</v>
      </c>
      <c r="C49" s="172">
        <f t="shared" ca="1" si="16"/>
        <v>-6538934.4138251888</v>
      </c>
      <c r="D49" s="172">
        <v>0</v>
      </c>
      <c r="E49" s="172">
        <v>0</v>
      </c>
      <c r="F49" s="173">
        <f ca="1">OFFSET($L$17,0,B49-Assumptions!$B$3)</f>
        <v>0</v>
      </c>
      <c r="G49" s="234">
        <f>'Cost Recovery Timing'!T32</f>
        <v>28.58</v>
      </c>
      <c r="H49" s="165">
        <f>Assumptions!$B$23</f>
        <v>0.02</v>
      </c>
      <c r="I49" s="173">
        <f t="shared" si="18"/>
        <v>27397.614949600225</v>
      </c>
      <c r="J49" s="173">
        <f>(G49*I49*Assumptions!$B$28)+(G48*I48*Assumptions!$B$27)+(G47*I47*Assumptions!$B$26)</f>
        <v>766255.50476208935</v>
      </c>
      <c r="K49" s="175">
        <f t="shared" ca="1" si="14"/>
        <v>-5772678.909063099</v>
      </c>
      <c r="L49" s="173">
        <f t="shared" ca="1" si="17"/>
        <v>0</v>
      </c>
      <c r="M49" s="174">
        <f t="shared" ca="1" si="19"/>
        <v>-259539.64375147692</v>
      </c>
      <c r="N49" s="195">
        <f t="shared" ref="N49:N66" ca="1" si="22">+L49+K49+M49</f>
        <v>-6032218.5528145758</v>
      </c>
      <c r="P49" s="42"/>
    </row>
    <row r="50" spans="1:17">
      <c r="A50" s="96"/>
      <c r="B50" s="154">
        <f>+B49+1</f>
        <v>2044</v>
      </c>
      <c r="C50" s="172">
        <f t="shared" ca="1" si="16"/>
        <v>-6032218.5528145758</v>
      </c>
      <c r="D50" s="172">
        <v>0</v>
      </c>
      <c r="E50" s="172">
        <v>0</v>
      </c>
      <c r="F50" s="173">
        <f ca="1">OFFSET($L$17,0,B50-Assumptions!$B$3)</f>
        <v>0</v>
      </c>
      <c r="G50" s="234">
        <f>'Cost Recovery Timing'!T33</f>
        <v>28.58</v>
      </c>
      <c r="H50" s="165">
        <f>Assumptions!$B$23</f>
        <v>0.02</v>
      </c>
      <c r="I50" s="173">
        <f t="shared" si="18"/>
        <v>27945.56724859223</v>
      </c>
      <c r="J50" s="173">
        <f>(G50*I50*Assumptions!$B$28)+(G49*I49*Assumptions!$B$27)+(G48*I48*Assumptions!$B$26)</f>
        <v>781580.61485733115</v>
      </c>
      <c r="K50" s="175">
        <f t="shared" ca="1" si="14"/>
        <v>-5250637.9379572449</v>
      </c>
      <c r="L50" s="173">
        <f t="shared" ca="1" si="17"/>
        <v>0</v>
      </c>
      <c r="M50" s="174">
        <f t="shared" ca="1" si="19"/>
        <v>-236068.68169055774</v>
      </c>
      <c r="N50" s="195">
        <f t="shared" ca="1" si="22"/>
        <v>-5486706.6196478028</v>
      </c>
      <c r="P50" s="42"/>
    </row>
    <row r="51" spans="1:17">
      <c r="A51" s="96"/>
      <c r="B51" s="154">
        <f t="shared" si="13"/>
        <v>2045</v>
      </c>
      <c r="C51" s="172">
        <f t="shared" ca="1" si="16"/>
        <v>-5486706.6196478028</v>
      </c>
      <c r="D51" s="172">
        <v>0</v>
      </c>
      <c r="E51" s="172">
        <v>0</v>
      </c>
      <c r="F51" s="173">
        <f ca="1">OFFSET($L$17,0,B51-Assumptions!$B$3)</f>
        <v>0</v>
      </c>
      <c r="G51" s="234">
        <f>'Cost Recovery Timing'!T34</f>
        <v>28.58</v>
      </c>
      <c r="H51" s="165">
        <f>Assumptions!$B$23</f>
        <v>0.02</v>
      </c>
      <c r="I51" s="173">
        <f t="shared" si="18"/>
        <v>28504.478593564076</v>
      </c>
      <c r="J51" s="173">
        <f>(G51*I51*Assumptions!$B$28)+(G50*I50*Assumptions!$B$27)+(G49*I49*Assumptions!$B$26)</f>
        <v>797212.22715447785</v>
      </c>
      <c r="K51" s="175">
        <f t="shared" ca="1" si="14"/>
        <v>-4689494.3924933253</v>
      </c>
      <c r="L51" s="173">
        <f t="shared" ca="1" si="17"/>
        <v>0</v>
      </c>
      <c r="M51" s="174">
        <f t="shared" ca="1" si="19"/>
        <v>-210839.6678864999</v>
      </c>
      <c r="N51" s="195">
        <f t="shared" ca="1" si="22"/>
        <v>-4900334.0603798255</v>
      </c>
      <c r="P51" s="42"/>
    </row>
    <row r="52" spans="1:17">
      <c r="A52" s="96"/>
      <c r="B52" s="154">
        <f t="shared" si="13"/>
        <v>2046</v>
      </c>
      <c r="C52" s="172">
        <f t="shared" ca="1" si="16"/>
        <v>-4900334.0603798255</v>
      </c>
      <c r="D52" s="172">
        <v>0</v>
      </c>
      <c r="E52" s="172">
        <v>0</v>
      </c>
      <c r="F52" s="173">
        <f ca="1">OFFSET($L$17,0,B52-Assumptions!$B$3)</f>
        <v>0</v>
      </c>
      <c r="G52" s="234">
        <f>'Cost Recovery Timing'!T35</f>
        <v>28.58</v>
      </c>
      <c r="H52" s="165">
        <f>Assumptions!$B$23</f>
        <v>0.02</v>
      </c>
      <c r="I52" s="173">
        <f t="shared" si="18"/>
        <v>29074.568165435358</v>
      </c>
      <c r="J52" s="173">
        <f>(G52*I52*Assumptions!$B$28)+(G51*I51*Assumptions!$B$27)+(G50*I50*Assumptions!$B$26)</f>
        <v>813156.4716975675</v>
      </c>
      <c r="K52" s="175">
        <f t="shared" ca="1" si="14"/>
        <v>-4087177.588682258</v>
      </c>
      <c r="L52" s="173">
        <f t="shared" ca="1" si="17"/>
        <v>0</v>
      </c>
      <c r="M52" s="174">
        <f t="shared" ca="1" si="19"/>
        <v>-183759.50438715433</v>
      </c>
      <c r="N52" s="195">
        <f t="shared" ca="1" si="22"/>
        <v>-4270937.0930694127</v>
      </c>
      <c r="P52" s="42"/>
    </row>
    <row r="53" spans="1:17">
      <c r="A53" s="96"/>
      <c r="B53" s="154">
        <f t="shared" si="13"/>
        <v>2047</v>
      </c>
      <c r="C53" s="172">
        <f t="shared" ca="1" si="16"/>
        <v>-4270937.0930694127</v>
      </c>
      <c r="D53" s="172">
        <v>0</v>
      </c>
      <c r="E53" s="172">
        <v>0</v>
      </c>
      <c r="F53" s="173">
        <f ca="1">OFFSET($L$17,0,B53-Assumptions!$B$3)</f>
        <v>0</v>
      </c>
      <c r="G53" s="234">
        <f>'Cost Recovery Timing'!T36</f>
        <v>28.58</v>
      </c>
      <c r="H53" s="165">
        <f>Assumptions!$B$23</f>
        <v>0.02</v>
      </c>
      <c r="I53" s="173">
        <f t="shared" si="18"/>
        <v>29656.059528744066</v>
      </c>
      <c r="J53" s="173">
        <f>(G53*I53*Assumptions!$B$28)+(G52*I52*Assumptions!$B$27)+(G51*I51*Assumptions!$B$26)</f>
        <v>829419.60113151884</v>
      </c>
      <c r="K53" s="175">
        <f t="shared" ca="1" si="14"/>
        <v>-3441517.4919378939</v>
      </c>
      <c r="L53" s="173">
        <f t="shared" ca="1" si="17"/>
        <v>0</v>
      </c>
      <c r="M53" s="174">
        <f t="shared" ca="1" si="19"/>
        <v>-154730.62643752771</v>
      </c>
      <c r="N53" s="195">
        <f t="shared" ca="1" si="22"/>
        <v>-3596248.1183754215</v>
      </c>
      <c r="P53" s="42"/>
    </row>
    <row r="54" spans="1:17">
      <c r="A54" s="96"/>
      <c r="B54" s="154">
        <f t="shared" si="13"/>
        <v>2048</v>
      </c>
      <c r="C54" s="172">
        <f t="shared" ca="1" si="16"/>
        <v>-3596248.1183754215</v>
      </c>
      <c r="D54" s="172">
        <v>0</v>
      </c>
      <c r="E54" s="172">
        <v>0</v>
      </c>
      <c r="F54" s="173">
        <f ca="1">OFFSET($L$17,0,B54-Assumptions!$B$3)</f>
        <v>0</v>
      </c>
      <c r="G54" s="234">
        <f>'Cost Recovery Timing'!T37</f>
        <v>28.58</v>
      </c>
      <c r="H54" s="165">
        <f>Assumptions!$B$23</f>
        <v>0.02</v>
      </c>
      <c r="I54" s="173">
        <f t="shared" si="18"/>
        <v>30249.180719318949</v>
      </c>
      <c r="J54" s="173">
        <f>(G54*I54*Assumptions!$B$28)+(G53*I53*Assumptions!$B$27)+(G52*I52*Assumptions!$B$26)</f>
        <v>846007.99315414927</v>
      </c>
      <c r="K54" s="175">
        <f t="shared" ca="1" si="14"/>
        <v>-2750240.125221272</v>
      </c>
      <c r="L54" s="173">
        <f t="shared" ca="1" si="17"/>
        <v>0</v>
      </c>
      <c r="M54" s="174">
        <f t="shared" ca="1" si="19"/>
        <v>-123650.79602994838</v>
      </c>
      <c r="N54" s="195">
        <f t="shared" ca="1" si="22"/>
        <v>-2873890.9212512202</v>
      </c>
      <c r="P54" s="42"/>
    </row>
    <row r="55" spans="1:17">
      <c r="A55" s="96"/>
      <c r="B55" s="154">
        <f t="shared" si="13"/>
        <v>2049</v>
      </c>
      <c r="C55" s="172">
        <f t="shared" ca="1" si="16"/>
        <v>-2873890.9212512202</v>
      </c>
      <c r="D55" s="172">
        <v>0</v>
      </c>
      <c r="E55" s="172">
        <v>0</v>
      </c>
      <c r="F55" s="173">
        <f ca="1">OFFSET($L$17,0,B55-Assumptions!$B$3)</f>
        <v>0</v>
      </c>
      <c r="G55" s="234">
        <f>'Cost Recovery Timing'!T38</f>
        <v>28.58</v>
      </c>
      <c r="H55" s="165">
        <f>Assumptions!$B$23</f>
        <v>0.02</v>
      </c>
      <c r="I55" s="173">
        <f t="shared" si="18"/>
        <v>30854.164333705328</v>
      </c>
      <c r="J55" s="173">
        <f>(G55*I55*Assumptions!$B$28)+(G54*I54*Assumptions!$B$27)+(G53*I53*Assumptions!$B$26)</f>
        <v>862928.15301723219</v>
      </c>
      <c r="K55" s="175">
        <f t="shared" ca="1" si="14"/>
        <v>-2010962.768233988</v>
      </c>
      <c r="L55" s="175">
        <f t="shared" ca="1" si="17"/>
        <v>0</v>
      </c>
      <c r="M55" s="174">
        <f t="shared" ca="1" si="19"/>
        <v>-90412.886059800105</v>
      </c>
      <c r="N55" s="195">
        <f t="shared" ca="1" si="22"/>
        <v>-2101375.6542937881</v>
      </c>
      <c r="P55" s="42"/>
    </row>
    <row r="56" spans="1:17">
      <c r="B56" s="154">
        <f t="shared" si="13"/>
        <v>2050</v>
      </c>
      <c r="C56" s="225">
        <f t="shared" ca="1" si="16"/>
        <v>-2101375.6542937881</v>
      </c>
      <c r="D56" s="225">
        <v>0</v>
      </c>
      <c r="E56" s="225">
        <v>0</v>
      </c>
      <c r="F56" s="175">
        <f ca="1">OFFSET($L$17,0,B56-Assumptions!$B$3)</f>
        <v>0</v>
      </c>
      <c r="G56" s="235">
        <f>'Cost Recovery Timing'!T39</f>
        <v>28.58</v>
      </c>
      <c r="H56" s="165">
        <f>Assumptions!$B$23</f>
        <v>0.02</v>
      </c>
      <c r="I56" s="173">
        <f t="shared" si="18"/>
        <v>31471.247620379436</v>
      </c>
      <c r="J56" s="175">
        <f>(G56*I56*Assumptions!$B$28)+(G55*I55*Assumptions!$B$27)+(G54*I54*Assumptions!$B$26)</f>
        <v>880186.71607757686</v>
      </c>
      <c r="K56" s="175">
        <f t="shared" ca="1" si="14"/>
        <v>-1221188.9382162113</v>
      </c>
      <c r="L56" s="173">
        <f t="shared" ca="1" si="17"/>
        <v>0</v>
      </c>
      <c r="M56" s="174">
        <f t="shared" ca="1" si="19"/>
        <v>-54904.654662200861</v>
      </c>
      <c r="N56" s="195">
        <f t="shared" ca="1" si="22"/>
        <v>-1276093.5928784122</v>
      </c>
      <c r="P56" s="42"/>
    </row>
    <row r="57" spans="1:17">
      <c r="A57" s="166" t="s">
        <v>162</v>
      </c>
      <c r="B57" s="207">
        <f t="shared" si="13"/>
        <v>2051</v>
      </c>
      <c r="C57" s="209">
        <f t="shared" ca="1" si="16"/>
        <v>-1276093.5928784122</v>
      </c>
      <c r="D57" s="209">
        <v>0</v>
      </c>
      <c r="E57" s="209">
        <v>0</v>
      </c>
      <c r="F57" s="210">
        <f ca="1">OFFSET($L$17,0,B57-Assumptions!$B$3)</f>
        <v>0</v>
      </c>
      <c r="G57" s="236">
        <f>'Cost Recovery Timing'!T40</f>
        <v>10.104000000000042</v>
      </c>
      <c r="H57" s="167">
        <f>Assumptions!$B$23</f>
        <v>0.02</v>
      </c>
      <c r="I57" s="210">
        <f t="shared" si="18"/>
        <v>32100.672572787025</v>
      </c>
      <c r="J57" s="210">
        <f>(G57*I57*Assumptions!$B$28)+(G56*I56*Assumptions!$B$27)+(G55*I55*Assumptions!$B$26)</f>
        <v>719862.84246268496</v>
      </c>
      <c r="K57" s="210">
        <f t="shared" ca="1" si="14"/>
        <v>-556230.75041572726</v>
      </c>
      <c r="L57" s="210">
        <f t="shared" ca="1" si="17"/>
        <v>0</v>
      </c>
      <c r="M57" s="214">
        <f t="shared" ca="1" si="19"/>
        <v>-25008.134538691098</v>
      </c>
      <c r="N57" s="215">
        <f t="shared" ca="1" si="22"/>
        <v>-581238.8849544184</v>
      </c>
      <c r="P57" s="42"/>
    </row>
    <row r="58" spans="1:17" ht="15" customHeight="1">
      <c r="B58" s="154">
        <f t="shared" si="13"/>
        <v>2052</v>
      </c>
      <c r="C58" s="172">
        <f t="shared" ca="1" si="16"/>
        <v>-581238.8849544184</v>
      </c>
      <c r="D58" s="172">
        <v>0</v>
      </c>
      <c r="E58" s="172">
        <v>0</v>
      </c>
      <c r="F58" s="173">
        <f ca="1">OFFSET($L$17,0,B58-Assumptions!$B$3)</f>
        <v>0</v>
      </c>
      <c r="G58" s="234">
        <f>'Cost Recovery Timing'!T41</f>
        <v>0</v>
      </c>
      <c r="H58" s="165">
        <f>Assumptions!$B$23</f>
        <v>0.02</v>
      </c>
      <c r="I58" s="173">
        <f t="shared" si="18"/>
        <v>0</v>
      </c>
      <c r="J58" s="173">
        <f>(G58*I58*Assumptions!$B$28)+(G57*I57*Assumptions!$B$27)+(G56*I56*Assumptions!$B$26)</f>
        <v>457082.86149881018</v>
      </c>
      <c r="K58" s="175">
        <f t="shared" ca="1" si="14"/>
        <v>-124156.02345560823</v>
      </c>
      <c r="L58" s="175">
        <f t="shared" ca="1" si="17"/>
        <v>0</v>
      </c>
      <c r="M58" s="174">
        <f ca="1">IF(K58&lt;0,+K58*$M$26,0)</f>
        <v>-5582.054814564146</v>
      </c>
      <c r="N58" s="606">
        <f t="shared" ca="1" si="22"/>
        <v>-129738.07827017238</v>
      </c>
      <c r="O58" s="734" t="s">
        <v>290</v>
      </c>
      <c r="P58" s="735"/>
      <c r="Q58" s="735"/>
    </row>
    <row r="59" spans="1:17">
      <c r="B59" s="154">
        <f t="shared" si="13"/>
        <v>2053</v>
      </c>
      <c r="C59" s="172">
        <f t="shared" ca="1" si="16"/>
        <v>-129738.07827017238</v>
      </c>
      <c r="D59" s="172">
        <v>0</v>
      </c>
      <c r="E59" s="172">
        <v>0</v>
      </c>
      <c r="F59" s="173">
        <f ca="1">OFFSET($L$17,0,B59-Assumptions!$B$3)</f>
        <v>0</v>
      </c>
      <c r="G59" s="234">
        <f>'Cost Recovery Timing'!T42</f>
        <v>0</v>
      </c>
      <c r="H59" s="165">
        <f>Assumptions!$B$23</f>
        <v>0.02</v>
      </c>
      <c r="I59" s="173">
        <f t="shared" si="18"/>
        <v>0</v>
      </c>
      <c r="J59" s="173">
        <f>(G59*I59*Assumptions!$B$28)+(G58*I58*Assumptions!$B$27)+(G57*I57*Assumptions!$B$26)</f>
        <v>129738.0782701766</v>
      </c>
      <c r="K59" s="175">
        <f t="shared" ca="1" si="14"/>
        <v>4.220055416226387E-9</v>
      </c>
      <c r="L59" s="175">
        <f t="shared" ca="1" si="17"/>
        <v>1.128442818298936E-10</v>
      </c>
      <c r="M59" s="174">
        <f t="shared" ca="1" si="19"/>
        <v>0</v>
      </c>
      <c r="N59" s="606">
        <f t="shared" ca="1" si="22"/>
        <v>4.3328996980562804E-9</v>
      </c>
      <c r="O59" s="734"/>
      <c r="P59" s="735"/>
      <c r="Q59" s="735"/>
    </row>
    <row r="60" spans="1:17">
      <c r="B60" s="154">
        <f t="shared" si="13"/>
        <v>2054</v>
      </c>
      <c r="C60" s="172">
        <f t="shared" ca="1" si="16"/>
        <v>4.3328996980562804E-9</v>
      </c>
      <c r="D60" s="172">
        <v>0</v>
      </c>
      <c r="E60" s="172">
        <v>0</v>
      </c>
      <c r="F60" s="173">
        <f ca="1">OFFSET($L$17,0,B60-Assumptions!$B$3)</f>
        <v>0</v>
      </c>
      <c r="G60" s="234">
        <f>'Cost Recovery Timing'!T43</f>
        <v>0</v>
      </c>
      <c r="H60" s="165">
        <f>Assumptions!$B$23</f>
        <v>0.02</v>
      </c>
      <c r="I60" s="173">
        <f t="shared" si="18"/>
        <v>0</v>
      </c>
      <c r="J60" s="173">
        <f>(G60*I60*Assumptions!$B$28)+(G59*I59*Assumptions!$B$27)+(G58*I58*Assumptions!$B$26)</f>
        <v>0</v>
      </c>
      <c r="K60" s="175">
        <f t="shared" ca="1" si="14"/>
        <v>4.3328996980562804E-9</v>
      </c>
      <c r="L60" s="175">
        <f t="shared" ca="1" si="17"/>
        <v>1.1586173792602495E-10</v>
      </c>
      <c r="M60" s="174">
        <f t="shared" ca="1" si="19"/>
        <v>0</v>
      </c>
      <c r="N60" s="195">
        <f t="shared" ca="1" si="22"/>
        <v>4.4487614359823052E-9</v>
      </c>
      <c r="O60" s="734"/>
      <c r="P60" s="735"/>
      <c r="Q60" s="735"/>
    </row>
    <row r="61" spans="1:17">
      <c r="B61" s="154">
        <f t="shared" si="13"/>
        <v>2055</v>
      </c>
      <c r="C61" s="172">
        <f t="shared" ca="1" si="16"/>
        <v>4.4487614359823052E-9</v>
      </c>
      <c r="D61" s="172">
        <v>0</v>
      </c>
      <c r="E61" s="172">
        <v>0</v>
      </c>
      <c r="F61" s="173">
        <f ca="1">OFFSET($L$17,0,B61-Assumptions!$B$3)</f>
        <v>0</v>
      </c>
      <c r="G61" s="234">
        <f>'Cost Recovery Timing'!T44</f>
        <v>0</v>
      </c>
      <c r="H61" s="165">
        <f>Assumptions!$B$23</f>
        <v>0.02</v>
      </c>
      <c r="I61" s="173">
        <f t="shared" si="18"/>
        <v>0</v>
      </c>
      <c r="J61" s="173">
        <f>(G61*I61*Assumptions!$B$28)+(G60*I60*Assumptions!$B$27)+(G59*I59*Assumptions!$B$26)</f>
        <v>0</v>
      </c>
      <c r="K61" s="175">
        <f t="shared" ca="1" si="14"/>
        <v>4.4487614359823052E-9</v>
      </c>
      <c r="L61" s="175">
        <f t="shared" ca="1" si="17"/>
        <v>1.1895988079816687E-10</v>
      </c>
      <c r="M61" s="174">
        <f t="shared" ca="1" si="19"/>
        <v>0</v>
      </c>
      <c r="N61" s="195">
        <f t="shared" ca="1" si="22"/>
        <v>4.5677213167804717E-9</v>
      </c>
    </row>
    <row r="62" spans="1:17">
      <c r="B62" s="154">
        <f t="shared" si="13"/>
        <v>2056</v>
      </c>
      <c r="C62" s="172">
        <f t="shared" ca="1" si="16"/>
        <v>4.5677213167804717E-9</v>
      </c>
      <c r="D62" s="172">
        <v>0</v>
      </c>
      <c r="E62" s="172">
        <v>0</v>
      </c>
      <c r="F62" s="173">
        <f ca="1">OFFSET($L$17,0,B62-Assumptions!$B$3)</f>
        <v>0</v>
      </c>
      <c r="G62" s="234">
        <f>'Cost Recovery Timing'!T45</f>
        <v>0</v>
      </c>
      <c r="H62" s="165">
        <f>Assumptions!$B$23</f>
        <v>0.02</v>
      </c>
      <c r="I62" s="173">
        <f t="shared" si="18"/>
        <v>0</v>
      </c>
      <c r="J62" s="173">
        <f>(G62*I62*Assumptions!$B$28)+(G61*I61*Assumptions!$B$27)+(G60*I60*Assumptions!$B$26)</f>
        <v>0</v>
      </c>
      <c r="K62" s="175">
        <f t="shared" ca="1" si="14"/>
        <v>4.5677213167804717E-9</v>
      </c>
      <c r="L62" s="175">
        <f t="shared" ca="1" si="17"/>
        <v>1.2214086801070983E-10</v>
      </c>
      <c r="M62" s="174">
        <f t="shared" ca="1" si="19"/>
        <v>0</v>
      </c>
      <c r="N62" s="195">
        <f t="shared" ca="1" si="22"/>
        <v>4.6898621847911819E-9</v>
      </c>
    </row>
    <row r="63" spans="1:17">
      <c r="B63" s="154">
        <f t="shared" si="13"/>
        <v>2057</v>
      </c>
      <c r="C63" s="172">
        <f t="shared" ca="1" si="16"/>
        <v>4.6898621847911819E-9</v>
      </c>
      <c r="D63" s="172">
        <v>0</v>
      </c>
      <c r="E63" s="172">
        <v>0</v>
      </c>
      <c r="F63" s="173">
        <f ca="1">OFFSET($L$17,0,B63-Assumptions!$B$3)</f>
        <v>0</v>
      </c>
      <c r="G63" s="234">
        <f>'Cost Recovery Timing'!T46</f>
        <v>0</v>
      </c>
      <c r="H63" s="165">
        <f>Assumptions!$B$23</f>
        <v>0.02</v>
      </c>
      <c r="I63" s="173">
        <f t="shared" si="18"/>
        <v>0</v>
      </c>
      <c r="J63" s="173">
        <f>(G63*I63*Assumptions!$B$28)+(G62*I62*Assumptions!$B$27)+(G61*I61*Assumptions!$B$26)</f>
        <v>0</v>
      </c>
      <c r="K63" s="175">
        <f t="shared" ca="1" si="14"/>
        <v>4.6898621847911819E-9</v>
      </c>
      <c r="L63" s="175">
        <f t="shared" ca="1" si="17"/>
        <v>1.2540691482131621E-10</v>
      </c>
      <c r="M63" s="174">
        <f t="shared" ca="1" si="19"/>
        <v>0</v>
      </c>
      <c r="N63" s="195">
        <f t="shared" ca="1" si="22"/>
        <v>4.8152690996124983E-9</v>
      </c>
    </row>
    <row r="64" spans="1:17">
      <c r="B64" s="154">
        <f t="shared" si="13"/>
        <v>2058</v>
      </c>
      <c r="C64" s="172">
        <f t="shared" ca="1" si="16"/>
        <v>4.8152690996124983E-9</v>
      </c>
      <c r="D64" s="172">
        <v>0</v>
      </c>
      <c r="E64" s="172">
        <v>0</v>
      </c>
      <c r="F64" s="173">
        <f ca="1">OFFSET($L$17,0,B64-Assumptions!$B$3)</f>
        <v>0</v>
      </c>
      <c r="G64" s="234">
        <f>'Cost Recovery Timing'!T47</f>
        <v>0</v>
      </c>
      <c r="H64" s="165">
        <f>Assumptions!$B$23</f>
        <v>0.02</v>
      </c>
      <c r="I64" s="173">
        <f t="shared" si="18"/>
        <v>0</v>
      </c>
      <c r="J64" s="173">
        <f>(G64*I64*Assumptions!$B$28)+(G63*I63*Assumptions!$B$27)+(G62*I62*Assumptions!$B$26)</f>
        <v>0</v>
      </c>
      <c r="K64" s="175">
        <f t="shared" ca="1" si="14"/>
        <v>4.8152690996124983E-9</v>
      </c>
      <c r="L64" s="175">
        <f t="shared" ca="1" si="17"/>
        <v>1.2876029572363823E-10</v>
      </c>
      <c r="M64" s="174">
        <f t="shared" ca="1" si="19"/>
        <v>0</v>
      </c>
      <c r="N64" s="195">
        <f t="shared" ca="1" si="22"/>
        <v>4.9440293953361362E-9</v>
      </c>
    </row>
    <row r="65" spans="2:14">
      <c r="B65" s="154">
        <f t="shared" si="13"/>
        <v>2059</v>
      </c>
      <c r="C65" s="172">
        <f t="shared" ca="1" si="16"/>
        <v>4.9440293953361362E-9</v>
      </c>
      <c r="D65" s="172">
        <v>0</v>
      </c>
      <c r="E65" s="172">
        <v>0</v>
      </c>
      <c r="F65" s="173">
        <f ca="1">OFFSET($L$17,0,B65-Assumptions!$B$3)</f>
        <v>0</v>
      </c>
      <c r="G65" s="234">
        <f>'Cost Recovery Timing'!T48</f>
        <v>0</v>
      </c>
      <c r="H65" s="165">
        <f>Assumptions!$B$23</f>
        <v>0.02</v>
      </c>
      <c r="I65" s="173">
        <f t="shared" si="18"/>
        <v>0</v>
      </c>
      <c r="J65" s="173">
        <f>(G65*I65*Assumptions!$B$28)+(G64*I64*Assumptions!$B$27)+(G63*I63*Assumptions!$B$26)</f>
        <v>0</v>
      </c>
      <c r="K65" s="175">
        <f t="shared" ca="1" si="14"/>
        <v>4.9440293953361362E-9</v>
      </c>
      <c r="L65" s="175">
        <f t="shared" ca="1" si="17"/>
        <v>1.3220334603128831E-10</v>
      </c>
      <c r="M65" s="174">
        <f t="shared" ca="1" si="19"/>
        <v>0</v>
      </c>
      <c r="N65" s="195">
        <f t="shared" ca="1" si="22"/>
        <v>5.0762327413674248E-9</v>
      </c>
    </row>
    <row r="66" spans="2:14" ht="15" thickBot="1">
      <c r="B66" s="155">
        <f t="shared" si="13"/>
        <v>2060</v>
      </c>
      <c r="C66" s="177">
        <f t="shared" ca="1" si="16"/>
        <v>5.0762327413674248E-9</v>
      </c>
      <c r="D66" s="177">
        <v>0</v>
      </c>
      <c r="E66" s="177">
        <v>0</v>
      </c>
      <c r="F66" s="193">
        <f ca="1">OFFSET($L$17,0,B66-Assumptions!$B$3)</f>
        <v>0</v>
      </c>
      <c r="G66" s="551">
        <f>'Cost Recovery Timing'!T49</f>
        <v>0</v>
      </c>
      <c r="H66" s="168">
        <f>Assumptions!$B$23</f>
        <v>0.02</v>
      </c>
      <c r="I66" s="193">
        <f t="shared" si="18"/>
        <v>0</v>
      </c>
      <c r="J66" s="193">
        <f>(G66*I66*Assumptions!$B$28)+(G65*I65*Assumptions!$B$27)+(G64*I64*Assumptions!$B$26)</f>
        <v>0</v>
      </c>
      <c r="K66" s="194">
        <f t="shared" ca="1" si="14"/>
        <v>5.0762327413674248E-9</v>
      </c>
      <c r="L66" s="194">
        <f t="shared" ca="1" si="17"/>
        <v>1.3573846350416497E-10</v>
      </c>
      <c r="M66" s="196">
        <f t="shared" ca="1" si="19"/>
        <v>0</v>
      </c>
      <c r="N66" s="197">
        <f t="shared" ca="1" si="22"/>
        <v>5.2119712048715898E-9</v>
      </c>
    </row>
    <row r="67" spans="2:14">
      <c r="B67" s="95"/>
      <c r="C67" s="97"/>
      <c r="D67" s="98"/>
      <c r="E67" s="99"/>
      <c r="F67" s="100"/>
      <c r="G67" s="98"/>
      <c r="H67" s="98"/>
      <c r="I67" s="101"/>
      <c r="J67" s="101"/>
      <c r="K67" s="102"/>
      <c r="L67" s="103"/>
    </row>
    <row r="68" spans="2:14">
      <c r="B68" s="95"/>
      <c r="C68" s="97"/>
      <c r="D68" s="98"/>
      <c r="E68" s="99"/>
      <c r="F68" s="100"/>
      <c r="G68" s="98"/>
      <c r="H68" s="98"/>
      <c r="I68" s="101"/>
      <c r="J68" s="101"/>
      <c r="K68" s="102"/>
      <c r="L68" s="103"/>
    </row>
    <row r="69" spans="2:14">
      <c r="B69" s="95"/>
      <c r="C69" s="97"/>
      <c r="D69" s="98"/>
      <c r="E69" s="99"/>
      <c r="F69" s="669"/>
      <c r="G69" s="98"/>
      <c r="H69" s="98"/>
      <c r="I69" s="101"/>
      <c r="J69" s="669"/>
      <c r="K69" s="102"/>
      <c r="L69" s="103"/>
      <c r="M69" s="669"/>
    </row>
    <row r="70" spans="2:14">
      <c r="B70" s="95"/>
      <c r="C70" s="97"/>
      <c r="D70" s="98"/>
      <c r="E70" s="99"/>
      <c r="F70" s="100"/>
      <c r="G70" s="98"/>
      <c r="H70" s="98"/>
      <c r="I70" s="101"/>
      <c r="J70" s="101"/>
      <c r="K70" s="102"/>
      <c r="L70" s="103"/>
    </row>
    <row r="71" spans="2:14">
      <c r="B71" s="95"/>
      <c r="C71" s="97"/>
      <c r="D71" s="98"/>
      <c r="E71" s="99"/>
      <c r="F71" s="100"/>
      <c r="G71" s="98"/>
      <c r="H71" s="98"/>
      <c r="I71" s="101"/>
      <c r="J71" s="101"/>
      <c r="K71" s="102"/>
      <c r="L71" s="103"/>
    </row>
    <row r="72" spans="2:14">
      <c r="B72" s="95"/>
      <c r="C72" s="97"/>
      <c r="D72" s="98"/>
      <c r="E72" s="99"/>
      <c r="F72" s="100"/>
      <c r="G72" s="98"/>
      <c r="H72" s="98"/>
      <c r="I72" s="101"/>
      <c r="J72" s="101"/>
      <c r="K72" s="102"/>
      <c r="L72" s="103"/>
    </row>
    <row r="73" spans="2:14">
      <c r="B73" s="95"/>
      <c r="C73" s="97"/>
      <c r="D73" s="98"/>
      <c r="E73" s="99"/>
      <c r="F73" s="100"/>
      <c r="G73" s="98"/>
      <c r="H73" s="98"/>
      <c r="I73" s="101"/>
      <c r="J73" s="101"/>
      <c r="K73" s="102"/>
      <c r="L73" s="103"/>
    </row>
    <row r="74" spans="2:14">
      <c r="B74" s="95"/>
      <c r="C74" s="97"/>
      <c r="D74" s="98"/>
      <c r="E74" s="99"/>
      <c r="F74" s="100"/>
      <c r="G74" s="98"/>
      <c r="H74" s="98"/>
      <c r="I74" s="101"/>
      <c r="J74" s="101"/>
      <c r="K74" s="102"/>
      <c r="L74" s="103"/>
    </row>
    <row r="75" spans="2:14">
      <c r="B75" s="95"/>
      <c r="C75" s="97"/>
      <c r="D75" s="98"/>
      <c r="E75" s="99"/>
      <c r="F75" s="100"/>
      <c r="G75" s="98"/>
      <c r="H75" s="98"/>
      <c r="I75" s="101"/>
      <c r="J75" s="101"/>
      <c r="K75" s="102"/>
      <c r="L75" s="103"/>
    </row>
    <row r="76" spans="2:14">
      <c r="B76" s="95"/>
      <c r="C76" s="97"/>
      <c r="D76" s="98"/>
      <c r="E76" s="99"/>
      <c r="F76" s="100"/>
      <c r="G76" s="98"/>
      <c r="H76" s="98"/>
      <c r="I76" s="101"/>
      <c r="J76" s="101"/>
      <c r="K76" s="102"/>
      <c r="L76" s="103"/>
    </row>
    <row r="77" spans="2:14">
      <c r="B77" s="95"/>
      <c r="C77" s="97"/>
      <c r="D77" s="98"/>
      <c r="E77" s="99"/>
      <c r="F77" s="100"/>
      <c r="G77" s="98"/>
      <c r="H77" s="98"/>
      <c r="I77" s="101"/>
      <c r="J77" s="101"/>
      <c r="K77" s="102"/>
      <c r="L77" s="103"/>
    </row>
  </sheetData>
  <dataConsolidate/>
  <mergeCells count="25">
    <mergeCell ref="O58:Q60"/>
    <mergeCell ref="B3:J3"/>
    <mergeCell ref="B4:J4"/>
    <mergeCell ref="B5:J5"/>
    <mergeCell ref="A8:A10"/>
    <mergeCell ref="B8:B10"/>
    <mergeCell ref="C8:E8"/>
    <mergeCell ref="F8:F9"/>
    <mergeCell ref="I8:I10"/>
    <mergeCell ref="J8:J10"/>
    <mergeCell ref="N22:N26"/>
    <mergeCell ref="L23:M23"/>
    <mergeCell ref="K8:K9"/>
    <mergeCell ref="C9:C10"/>
    <mergeCell ref="D9:D10"/>
    <mergeCell ref="E9:E10"/>
    <mergeCell ref="J22:J23"/>
    <mergeCell ref="K22:K24"/>
    <mergeCell ref="L22:M22"/>
    <mergeCell ref="C22:C24"/>
    <mergeCell ref="F22:F24"/>
    <mergeCell ref="G22:G24"/>
    <mergeCell ref="H22:H24"/>
    <mergeCell ref="D22:D25"/>
    <mergeCell ref="E22:E24"/>
  </mergeCells>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EB813-6322-4976-A9A7-1A0974BEED0A}">
  <sheetPr codeName="Sheet55">
    <tabColor theme="4" tint="-0.249977111117893"/>
    <pageSetUpPr fitToPage="1"/>
  </sheetPr>
  <dimension ref="B2:H19"/>
  <sheetViews>
    <sheetView showGridLines="0" zoomScaleNormal="100" workbookViewId="0">
      <selection activeCell="I19" sqref="I19"/>
    </sheetView>
  </sheetViews>
  <sheetFormatPr defaultColWidth="9.109375" defaultRowHeight="17.850000000000001" customHeight="1"/>
  <cols>
    <col min="1" max="1" width="6.109375" style="515" customWidth="1"/>
    <col min="2" max="2" width="40.5546875" style="515" customWidth="1"/>
    <col min="3" max="3" width="24" style="515" customWidth="1"/>
    <col min="4" max="4" width="25.5546875" style="516" customWidth="1"/>
    <col min="5" max="5" width="16.109375" style="516" customWidth="1"/>
    <col min="6" max="6" width="13.6640625" style="515" customWidth="1"/>
    <col min="7" max="7" width="11" style="515" customWidth="1"/>
    <col min="8" max="8" width="2.44140625" style="515" hidden="1" customWidth="1"/>
    <col min="9" max="9" width="12.44140625" style="515" customWidth="1"/>
    <col min="10" max="10" width="12.21875" style="515" customWidth="1"/>
    <col min="11" max="11" width="13" style="515" customWidth="1"/>
    <col min="12" max="16384" width="9.109375" style="515"/>
  </cols>
  <sheetData>
    <row r="2" spans="2:5" ht="17.850000000000001" customHeight="1" thickBot="1"/>
    <row r="3" spans="2:5" ht="17.850000000000001" customHeight="1">
      <c r="B3" s="769" t="s">
        <v>292</v>
      </c>
      <c r="C3" s="771" t="s">
        <v>181</v>
      </c>
      <c r="D3" s="767" t="s">
        <v>293</v>
      </c>
    </row>
    <row r="4" spans="2:5" ht="17.850000000000001" customHeight="1" thickBot="1">
      <c r="B4" s="770"/>
      <c r="C4" s="772"/>
      <c r="D4" s="768"/>
    </row>
    <row r="5" spans="2:5" ht="17.850000000000001" customHeight="1">
      <c r="B5" s="641" t="s">
        <v>32</v>
      </c>
      <c r="C5" s="642">
        <v>41559</v>
      </c>
      <c r="D5" s="643">
        <f>'Wat Supply - OSL'!I31</f>
        <v>108126.3377156261</v>
      </c>
    </row>
    <row r="6" spans="2:5" ht="17.850000000000001" customHeight="1">
      <c r="B6" s="644" t="s">
        <v>276</v>
      </c>
      <c r="C6" s="773">
        <v>12574</v>
      </c>
      <c r="D6" s="645">
        <f>'Wat Storage - OSL'!I22</f>
        <v>19566.35089783412</v>
      </c>
    </row>
    <row r="7" spans="2:5" ht="17.850000000000001" customHeight="1" thickBot="1">
      <c r="B7" s="646" t="s">
        <v>43</v>
      </c>
      <c r="C7" s="774"/>
      <c r="D7" s="647">
        <f>'Wat Distribution - OSL'!I22</f>
        <v>3444.5159477959314</v>
      </c>
    </row>
    <row r="8" spans="2:5" ht="17.850000000000001" customHeight="1">
      <c r="B8" s="516"/>
      <c r="C8" s="517"/>
      <c r="D8" s="515"/>
      <c r="E8" s="515"/>
    </row>
    <row r="9" spans="2:5" ht="17.850000000000001" customHeight="1">
      <c r="B9" s="516"/>
      <c r="D9" s="515"/>
      <c r="E9" s="515"/>
    </row>
    <row r="10" spans="2:5" ht="17.850000000000001" customHeight="1">
      <c r="B10" s="516"/>
      <c r="C10" s="517"/>
      <c r="D10" s="515"/>
      <c r="E10" s="515"/>
    </row>
    <row r="11" spans="2:5" ht="17.850000000000001" customHeight="1">
      <c r="B11" s="516"/>
      <c r="D11" s="515"/>
      <c r="E11" s="515"/>
    </row>
    <row r="12" spans="2:5" ht="17.850000000000001" customHeight="1">
      <c r="B12" s="516"/>
      <c r="D12" s="515"/>
      <c r="E12" s="515"/>
    </row>
    <row r="17" spans="3:6" ht="17.850000000000001" customHeight="1">
      <c r="F17" s="517"/>
    </row>
    <row r="18" spans="3:6" ht="17.850000000000001" customHeight="1">
      <c r="C18" s="518"/>
      <c r="D18" s="519"/>
    </row>
    <row r="19" spans="3:6" ht="17.850000000000001" customHeight="1">
      <c r="C19" s="518"/>
    </row>
  </sheetData>
  <mergeCells count="4">
    <mergeCell ref="D3:D4"/>
    <mergeCell ref="B3:B4"/>
    <mergeCell ref="C3:C4"/>
    <mergeCell ref="C6:C7"/>
  </mergeCells>
  <pageMargins left="0.70866141732283472" right="0.70866141732283472" top="0.74803149606299213" bottom="0.74803149606299213" header="0.31496062992125984" footer="0.31496062992125984"/>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36616D2-2866-4548-BCBC-14F71532C79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Read Me</vt:lpstr>
      <vt:lpstr>Assumptions</vt:lpstr>
      <vt:lpstr>2026 Collections Summary</vt:lpstr>
      <vt:lpstr>Regional Water Debenture</vt:lpstr>
      <vt:lpstr>Project List </vt:lpstr>
      <vt:lpstr>Cost Recovery Timing</vt:lpstr>
      <vt:lpstr>W-Distribution</vt:lpstr>
      <vt:lpstr>Wat Distribution - OSL</vt:lpstr>
      <vt:lpstr>W-Supply</vt:lpstr>
      <vt:lpstr>Wat Supply - OSL</vt:lpstr>
      <vt:lpstr>W-Storage</vt:lpstr>
      <vt:lpstr>Wat Storage - OSL</vt:lpstr>
      <vt:lpstr>Offsite Levy Rate Summary</vt:lpstr>
      <vt:lpstr>'Project List '!Print_Area</vt:lpstr>
      <vt:lpstr>'W-Storage'!Print_Area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Clayton Drewlo</dc:creator>
  <cp:lastModifiedBy>Andrea Charlebois</cp:lastModifiedBy>
  <cp:lastPrinted>2026-03-19T21:26:27Z</cp:lastPrinted>
  <dcterms:created xsi:type="dcterms:W3CDTF">2015-01-12T14:41:46Z</dcterms:created>
  <dcterms:modified xsi:type="dcterms:W3CDTF">2026-09-10T22:02:53Z</dcterms:modified>
  <cp:contentStatus/>
</cp:coreProperties>
</file>