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mc:AlternateContent xmlns:mc="http://schemas.openxmlformats.org/markup-compatibility/2006">
    <mc:Choice Requires="x15">
      <x15ac:absPath xmlns:x15ac="http://schemas.microsoft.com/office/spreadsheetml/2010/11/ac" url="C:\Users\acharlebois\Desktop\"/>
    </mc:Choice>
  </mc:AlternateContent>
  <xr:revisionPtr revIDLastSave="0" documentId="8_{628BD970-B86A-4455-8C20-A927128E23A1}" xr6:coauthVersionLast="47" xr6:coauthVersionMax="47" xr10:uidLastSave="{00000000-0000-0000-0000-000000000000}"/>
  <bookViews>
    <workbookView xWindow="-108" yWindow="-108" windowWidth="23256" windowHeight="13896" tabRatio="786" xr2:uid="{D13728A8-B979-4F44-831E-DEB46506FB11}"/>
  </bookViews>
  <sheets>
    <sheet name="Read Me" sheetId="247" r:id="rId1"/>
    <sheet name="Assumptions" sheetId="130" r:id="rId2"/>
    <sheet name="Oversize Costs" sheetId="238" r:id="rId3"/>
    <sheet name="2026 Collections Summary" sheetId="244" r:id="rId4"/>
    <sheet name="Cost Recovery Timing" sheetId="242" r:id="rId5"/>
    <sheet name="Project List " sheetId="237" r:id="rId6"/>
    <sheet name="T-Transportation" sheetId="212" r:id="rId7"/>
    <sheet name="Transportation - OSL" sheetId="230" r:id="rId8"/>
    <sheet name="Transportation - Oversize" sheetId="216" r:id="rId9"/>
    <sheet name="Transportation Recovery" sheetId="246" r:id="rId10"/>
    <sheet name="Offsite Levy Rate Summary" sheetId="217" r:id="rId11"/>
  </sheets>
  <definedNames>
    <definedName name="a">#REF!</definedName>
    <definedName name="Beg_Bal">#REF!</definedName>
    <definedName name="Buddata">#REF!</definedName>
    <definedName name="Capdata1">#REF!</definedName>
    <definedName name="CFWD">#REF!</definedName>
    <definedName name="CondoALC">#REF!</definedName>
    <definedName name="Contingency">#REF!</definedName>
    <definedName name="Cum_Int">#REF!</definedName>
    <definedName name="Data">#REF!</definedName>
    <definedName name="del">#REF!</definedName>
    <definedName name="End_Bal">#REF!</definedName>
    <definedName name="Engineering">#REF!</definedName>
    <definedName name="Extra_Pay">#REF!</definedName>
    <definedName name="fgdsfdgf" localSheetId="4">#REF!</definedName>
    <definedName name="fgdsfdgf" localSheetId="10">#REF!</definedName>
    <definedName name="fgdsfdgf" localSheetId="7">#REF!</definedName>
    <definedName name="fgdsfdgf" localSheetId="8">#REF!</definedName>
    <definedName name="fgdsfdgf">#REF!</definedName>
    <definedName name="Full_Print">#REF!</definedName>
    <definedName name="Header_Row">ROW(#REF!)</definedName>
    <definedName name="Int">#REF!</definedName>
    <definedName name="INTBAL">#REF!</definedName>
    <definedName name="Interest_Rate">#REF!</definedName>
    <definedName name="INVENTORY96">#REF!</definedName>
    <definedName name="INVENTORY97">#REF!</definedName>
    <definedName name="INVENTORY98">#REF!</definedName>
    <definedName name="JMH_Markups">#REF!</definedName>
    <definedName name="LAND4SALE96">#REF!</definedName>
    <definedName name="LAND4SALE97">#REF!</definedName>
    <definedName name="LANDREDUCE97">#REF!</definedName>
    <definedName name="Last_Row" localSheetId="4">IF('Cost Recovery Timing'!Values_Entered,[0]!Header_Row+'Cost Recovery Timing'!Number_of_Payments,[0]!Header_Row)</definedName>
    <definedName name="Last_Row" localSheetId="5">IF('Project List '!Values_Entered,[0]!Header_Row+'Project List '!Number_of_Payments,[0]!Header_Row)</definedName>
    <definedName name="Last_Row" localSheetId="7">IF('Transportation - OSL'!Values_Entered,[0]!Header_Row+'Transportation - OSL'!Number_of_Payments,[0]!Header_Row)</definedName>
    <definedName name="Last_Row" localSheetId="8">IF('Transportation - Oversize'!Values_Entered,[0]!Header_Row+'Transportation - Oversize'!Number_of_Payments,[0]!Header_Row)</definedName>
    <definedName name="Last_Row" localSheetId="6">IF('T-Transportation'!Values_Entered,[0]!Header_Row+'T-Transportation'!Number_of_Payments,[0]!Header_Row)</definedName>
    <definedName name="Last_Row">IF(Values_Entered,Header_Row+Number_of_Payments,Header_Row)</definedName>
    <definedName name="Loan_Amount">#REF!</definedName>
    <definedName name="Loan_Start">#REF!</definedName>
    <definedName name="Loan_Years">#REF!</definedName>
    <definedName name="Num_Pmt_Per_Year">#REF!</definedName>
    <definedName name="Number_of_Payments" localSheetId="4">MATCH(0.01,[0]!End_Bal,-1)+1</definedName>
    <definedName name="Number_of_Payments" localSheetId="5">MATCH(0.01,[0]!End_Bal,-1)+1</definedName>
    <definedName name="Number_of_Payments" localSheetId="7">MATCH(0.01,[0]!End_Bal,-1)+1</definedName>
    <definedName name="Number_of_Payments" localSheetId="8">MATCH(0.01,[0]!End_Bal,-1)+1</definedName>
    <definedName name="Number_of_Payments" localSheetId="6">MATCH(0.01,[0]!End_Bal,-1)+1</definedName>
    <definedName name="Number_of_Payments">MATCH(0.01,End_Bal,-1)+1</definedName>
    <definedName name="Pay_Date">#REF!</definedName>
    <definedName name="Pay_Num">#REF!</definedName>
    <definedName name="Payment_Date" localSheetId="4">DATE(YEAR([0]!Loan_Start),MONTH([0]!Loan_Start)+Payment_Number,DAY([0]!Loan_Start))</definedName>
    <definedName name="Payment_Date" localSheetId="10">DATE(YEAR([0]!Loan_Start),MONTH([0]!Loan_Start)+Payment_Number,DAY([0]!Loan_Start))</definedName>
    <definedName name="Payment_Date" localSheetId="5">DATE(YEAR([0]!Loan_Start),MONTH([0]!Loan_Start)+Payment_Number,DAY([0]!Loan_Start))</definedName>
    <definedName name="Payment_Date" localSheetId="7">DATE(YEAR([0]!Loan_Start),MONTH([0]!Loan_Start)+Payment_Number,DAY([0]!Loan_Start))</definedName>
    <definedName name="Payment_Date" localSheetId="8">DATE(YEAR([0]!Loan_Start),MONTH([0]!Loan_Start)+Payment_Number,DAY([0]!Loan_Start))</definedName>
    <definedName name="Payment_Date" localSheetId="9">DATE(YEAR([0]!Loan_Start),MONTH([0]!Loan_Start)+Payment_Number,DAY([0]!Loan_Start))</definedName>
    <definedName name="Payment_Date" localSheetId="6">DATE(YEAR([0]!Loan_Start),MONTH([0]!Loan_Start)+Payment_Number,DAY([0]!Loan_Start))</definedName>
    <definedName name="Payment_Date">DATE(YEAR(Loan_Start),MONTH(Loan_Start)+Payment_Number,DAY(Loan_Start))</definedName>
    <definedName name="payments_per_year" localSheetId="4">#REF!</definedName>
    <definedName name="payments_per_year" localSheetId="10">#REF!</definedName>
    <definedName name="payments_per_year" localSheetId="7">#REF!</definedName>
    <definedName name="payments_per_year" localSheetId="8">#REF!</definedName>
    <definedName name="payments_per_year">#REF!</definedName>
    <definedName name="Princ">#REF!</definedName>
    <definedName name="PRINCBAL">#REF!</definedName>
    <definedName name="_xlnm.Print_Area" localSheetId="5">'Project List '!$A$1:$AO$23</definedName>
    <definedName name="Print_Area_Reset" localSheetId="4">OFFSET([0]!Full_Print,0,0,'Cost Recovery Timing'!Last_Row)</definedName>
    <definedName name="Print_Area_Reset" localSheetId="5">OFFSET([0]!Full_Print,0,0,'Project List '!Last_Row)</definedName>
    <definedName name="Print_Area_Reset" localSheetId="7">OFFSET([0]!Full_Print,0,0,'Transportation - OSL'!Last_Row)</definedName>
    <definedName name="Print_Area_Reset" localSheetId="8">OFFSET([0]!Full_Print,0,0,'Transportation - Oversize'!Last_Row)</definedName>
    <definedName name="Print_Area_Reset" localSheetId="6">OFFSET([0]!Full_Print,0,0,'T-Transportation'!Last_Row)</definedName>
    <definedName name="Print_Area_Reset">OFFSET(Full_Print,0,0,Last_Row)</definedName>
    <definedName name="Projects">#REF!</definedName>
    <definedName name="Residential?">#REF!</definedName>
    <definedName name="Sched_Pay">#REF!</definedName>
    <definedName name="Scheduled_Extra_Payments">#REF!</definedName>
    <definedName name="Scheduled_Interest_Rate">#REF!</definedName>
    <definedName name="Scheduled_Monthly_Payment">#REF!</definedName>
    <definedName name="solver_adj" localSheetId="7" hidden="1">'Transportation - OSL'!$I$29</definedName>
    <definedName name="solver_adj" localSheetId="8" hidden="1">'Transportation - Oversize'!$I$28</definedName>
    <definedName name="solver_cvg" localSheetId="7" hidden="1">0.0001</definedName>
    <definedName name="solver_cvg" localSheetId="8" hidden="1">0.0001</definedName>
    <definedName name="solver_drv" localSheetId="7" hidden="1">1</definedName>
    <definedName name="solver_drv" localSheetId="8" hidden="1">1</definedName>
    <definedName name="solver_eng" localSheetId="7" hidden="1">1</definedName>
    <definedName name="solver_eng" localSheetId="8" hidden="1">1</definedName>
    <definedName name="solver_est" localSheetId="7" hidden="1">1</definedName>
    <definedName name="solver_est" localSheetId="8" hidden="1">1</definedName>
    <definedName name="solver_itr" localSheetId="7" hidden="1">2147483647</definedName>
    <definedName name="solver_itr" localSheetId="8" hidden="1">2147483647</definedName>
    <definedName name="solver_mip" localSheetId="7" hidden="1">2147483647</definedName>
    <definedName name="solver_mip" localSheetId="8" hidden="1">2147483647</definedName>
    <definedName name="solver_mni" localSheetId="7" hidden="1">30</definedName>
    <definedName name="solver_mni" localSheetId="8" hidden="1">30</definedName>
    <definedName name="solver_mrt" localSheetId="7" hidden="1">0.075</definedName>
    <definedName name="solver_mrt" localSheetId="8" hidden="1">0.075</definedName>
    <definedName name="solver_msl" localSheetId="7" hidden="1">2</definedName>
    <definedName name="solver_msl" localSheetId="8" hidden="1">2</definedName>
    <definedName name="solver_neg" localSheetId="7" hidden="1">1</definedName>
    <definedName name="solver_neg" localSheetId="8" hidden="1">1</definedName>
    <definedName name="solver_nod" localSheetId="7" hidden="1">2147483647</definedName>
    <definedName name="solver_nod" localSheetId="8" hidden="1">2147483647</definedName>
    <definedName name="solver_num" localSheetId="7" hidden="1">0</definedName>
    <definedName name="solver_num" localSheetId="8" hidden="1">0</definedName>
    <definedName name="solver_nwt" localSheetId="7" hidden="1">1</definedName>
    <definedName name="solver_nwt" localSheetId="8" hidden="1">1</definedName>
    <definedName name="solver_opt" localSheetId="7" hidden="1">'Transportation - OSL'!$N$55</definedName>
    <definedName name="solver_opt" localSheetId="8" hidden="1">'Transportation - Oversize'!$N$54</definedName>
    <definedName name="solver_pre" localSheetId="7" hidden="1">0.000001</definedName>
    <definedName name="solver_pre" localSheetId="8" hidden="1">0.000001</definedName>
    <definedName name="solver_rbv" localSheetId="7" hidden="1">1</definedName>
    <definedName name="solver_rbv" localSheetId="8" hidden="1">1</definedName>
    <definedName name="solver_rlx" localSheetId="7" hidden="1">2</definedName>
    <definedName name="solver_rlx" localSheetId="8" hidden="1">2</definedName>
    <definedName name="solver_rsd" localSheetId="7" hidden="1">0</definedName>
    <definedName name="solver_rsd" localSheetId="8" hidden="1">0</definedName>
    <definedName name="solver_scl" localSheetId="7" hidden="1">1</definedName>
    <definedName name="solver_scl" localSheetId="8" hidden="1">1</definedName>
    <definedName name="solver_sho" localSheetId="7" hidden="1">2</definedName>
    <definedName name="solver_sho" localSheetId="8" hidden="1">2</definedName>
    <definedName name="solver_ssz" localSheetId="7" hidden="1">100</definedName>
    <definedName name="solver_ssz" localSheetId="8" hidden="1">100</definedName>
    <definedName name="solver_tim" localSheetId="7" hidden="1">2147483647</definedName>
    <definedName name="solver_tim" localSheetId="8" hidden="1">2147483647</definedName>
    <definedName name="solver_tol" localSheetId="7" hidden="1">0.01</definedName>
    <definedName name="solver_tol" localSheetId="8" hidden="1">0.01</definedName>
    <definedName name="solver_typ" localSheetId="7" hidden="1">3</definedName>
    <definedName name="solver_typ" localSheetId="8" hidden="1">3</definedName>
    <definedName name="solver_val" localSheetId="7" hidden="1">0</definedName>
    <definedName name="solver_val" localSheetId="8" hidden="1">0</definedName>
    <definedName name="solver_ver" localSheetId="7" hidden="1">3</definedName>
    <definedName name="solver_ver" localSheetId="8" hidden="1">3</definedName>
    <definedName name="start_date" localSheetId="4">#REF!</definedName>
    <definedName name="start_date" localSheetId="10">#REF!</definedName>
    <definedName name="start_date" localSheetId="7">#REF!</definedName>
    <definedName name="start_date" localSheetId="8">#REF!</definedName>
    <definedName name="start_date">#REF!</definedName>
    <definedName name="Summaryada" localSheetId="7">#REF!</definedName>
    <definedName name="Summaryada" localSheetId="8">#REF!</definedName>
    <definedName name="Summaryada">#REF!</definedName>
    <definedName name="Total_Interest">#REF!</definedName>
    <definedName name="Total_Pay">#REF!</definedName>
    <definedName name="Values_Entered" localSheetId="4">IF([0]!Loan_Amount*[0]!Interest_Rate*[0]!Loan_Years*[0]!Loan_Start&gt;0,1,0)</definedName>
    <definedName name="Values_Entered" localSheetId="5">IF([0]!Loan_Amount*[0]!Interest_Rate*[0]!Loan_Years*[0]!Loan_Start&gt;0,1,0)</definedName>
    <definedName name="Values_Entered" localSheetId="7">IF([0]!Loan_Amount*[0]!Interest_Rate*[0]!Loan_Years*[0]!Loan_Start&gt;0,1,0)</definedName>
    <definedName name="Values_Entered" localSheetId="8">IF([0]!Loan_Amount*[0]!Interest_Rate*[0]!Loan_Years*[0]!Loan_Start&gt;0,1,0)</definedName>
    <definedName name="Values_Entered" localSheetId="6">IF([0]!Loan_Amount*[0]!Interest_Rate*[0]!Loan_Years*[0]!Loan_Start&gt;0,1,0)</definedName>
    <definedName name="Values_Entered">IF(Loan_Amount*Interest_Rate*Loan_Years*Loan_Start&gt;0,1,0)</definedName>
    <definedName name="years" localSheetId="4">#REF!</definedName>
    <definedName name="years" localSheetId="10">#REF!</definedName>
    <definedName name="years" localSheetId="7">#REF!</definedName>
    <definedName name="years" localSheetId="8">#REF!</definedName>
    <definedName name="years">#REF!</definedName>
    <definedName name="ZonetoJune30201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217" l="1"/>
  <c r="D7" i="217"/>
  <c r="D8" i="217"/>
  <c r="J73" i="230"/>
  <c r="BT18" i="216" l="1"/>
  <c r="BT17" i="216"/>
  <c r="BT16" i="216"/>
  <c r="BT15" i="216"/>
  <c r="BT14" i="216"/>
  <c r="BT13" i="216"/>
  <c r="U24" i="230"/>
  <c r="B13" i="230" l="1"/>
  <c r="B12" i="230"/>
  <c r="K23" i="230"/>
  <c r="K24" i="230"/>
  <c r="F12" i="230"/>
  <c r="F24" i="230" s="1"/>
  <c r="BT18" i="230"/>
  <c r="BT21" i="230"/>
  <c r="Q13" i="230"/>
  <c r="Q14" i="230"/>
  <c r="Q15" i="230"/>
  <c r="Q16" i="230"/>
  <c r="Q17" i="230"/>
  <c r="Q18" i="230"/>
  <c r="Q19" i="230"/>
  <c r="Q20" i="230"/>
  <c r="Q21" i="230"/>
  <c r="Q22" i="230"/>
  <c r="Q23" i="230"/>
  <c r="Q12" i="230"/>
  <c r="BT13" i="230"/>
  <c r="BT14" i="230"/>
  <c r="AF18" i="237" l="1"/>
  <c r="AF17" i="237" l="1"/>
  <c r="U15" i="237"/>
  <c r="B31" i="130"/>
  <c r="C36" i="216" l="1"/>
  <c r="C7" i="212" l="1"/>
  <c r="D7" i="212"/>
  <c r="E7" i="212"/>
  <c r="F7" i="212"/>
  <c r="G7" i="212"/>
  <c r="H7" i="212"/>
  <c r="D13" i="230" s="1"/>
  <c r="I7" i="212"/>
  <c r="J7" i="212"/>
  <c r="K7" i="212"/>
  <c r="L7" i="212"/>
  <c r="F13" i="230" s="1"/>
  <c r="H13" i="230" s="1"/>
  <c r="N7" i="212"/>
  <c r="C13" i="230"/>
  <c r="I13" i="230"/>
  <c r="J13" i="230" s="1"/>
  <c r="AJ7" i="237"/>
  <c r="AI7" i="237"/>
  <c r="M7" i="212" s="1"/>
  <c r="K13" i="230" l="1"/>
  <c r="E13" i="230"/>
  <c r="P20" i="237"/>
  <c r="V9" i="237" l="1"/>
  <c r="V10" i="237"/>
  <c r="V11" i="237"/>
  <c r="V12" i="237"/>
  <c r="V13" i="237"/>
  <c r="V14" i="237"/>
  <c r="V6" i="237"/>
  <c r="V8" i="237"/>
  <c r="I62" i="216"/>
  <c r="I63" i="216"/>
  <c r="I64" i="216"/>
  <c r="I65" i="216"/>
  <c r="I66" i="216"/>
  <c r="I67" i="216"/>
  <c r="I68" i="216"/>
  <c r="I69" i="216"/>
  <c r="I70" i="216"/>
  <c r="C18" i="246"/>
  <c r="P57" i="212"/>
  <c r="P31" i="212" s="1"/>
  <c r="N57" i="212"/>
  <c r="P30" i="212" s="1"/>
  <c r="L57" i="212"/>
  <c r="P29" i="212" s="1"/>
  <c r="J57" i="212"/>
  <c r="H57" i="212"/>
  <c r="P28" i="212" s="1"/>
  <c r="F57" i="212"/>
  <c r="P27" i="212" s="1"/>
  <c r="P32" i="212" s="1"/>
  <c r="B7" i="130" l="1"/>
  <c r="B6" i="130"/>
  <c r="J6" i="237" l="1"/>
  <c r="W6" i="237"/>
  <c r="X6" i="237" s="1"/>
  <c r="J8" i="237"/>
  <c r="J9" i="237"/>
  <c r="W9" i="237"/>
  <c r="X9" i="237" s="1"/>
  <c r="AF9" i="237" s="1"/>
  <c r="J10" i="237"/>
  <c r="W10" i="237"/>
  <c r="X10" i="237" s="1"/>
  <c r="AF10" i="237" s="1"/>
  <c r="J11" i="237"/>
  <c r="W11" i="237"/>
  <c r="X11" i="237" s="1"/>
  <c r="AF11" i="237" s="1"/>
  <c r="J12" i="237"/>
  <c r="W12" i="237"/>
  <c r="X12" i="237" s="1"/>
  <c r="AF12" i="237" s="1"/>
  <c r="J13" i="237"/>
  <c r="W13" i="237"/>
  <c r="X13" i="237" s="1"/>
  <c r="AF13" i="237" s="1"/>
  <c r="J14" i="237"/>
  <c r="W14" i="237"/>
  <c r="X14" i="237" s="1"/>
  <c r="AF14" i="237" s="1"/>
  <c r="AI14" i="237" s="1"/>
  <c r="J15" i="237"/>
  <c r="V15" i="237"/>
  <c r="W15" i="237" s="1"/>
  <c r="X15" i="237" s="1"/>
  <c r="J16" i="237"/>
  <c r="X16" i="237"/>
  <c r="AF16" i="237" s="1"/>
  <c r="AI16" i="237" s="1"/>
  <c r="J17" i="237"/>
  <c r="AI17" i="237"/>
  <c r="J20" i="237"/>
  <c r="X20" i="237"/>
  <c r="AF20" i="237" s="1"/>
  <c r="AF15" i="237" l="1"/>
  <c r="L15" i="212" s="1"/>
  <c r="AJ17" i="237"/>
  <c r="AJ14" i="237"/>
  <c r="AI12" i="237"/>
  <c r="AJ12" i="237"/>
  <c r="AI9" i="237"/>
  <c r="AJ9" i="237"/>
  <c r="AJ20" i="237"/>
  <c r="AI20" i="237"/>
  <c r="AI13" i="237"/>
  <c r="AJ13" i="237"/>
  <c r="AJ10" i="237"/>
  <c r="AI10" i="237"/>
  <c r="AF6" i="237"/>
  <c r="AJ16" i="237"/>
  <c r="AI11" i="237"/>
  <c r="AJ11" i="237"/>
  <c r="AJ15" i="237" l="1"/>
  <c r="AI15" i="237"/>
  <c r="AJ6" i="237"/>
  <c r="AI6" i="237"/>
  <c r="C14" i="244" l="1"/>
  <c r="R3" i="242" s="1"/>
  <c r="N15" i="242" s="1"/>
  <c r="C9" i="244"/>
  <c r="H37" i="216"/>
  <c r="H38" i="216"/>
  <c r="H39" i="216"/>
  <c r="H40" i="216"/>
  <c r="H41" i="216"/>
  <c r="H42" i="216"/>
  <c r="H43" i="216"/>
  <c r="H44" i="216"/>
  <c r="H45" i="216"/>
  <c r="H46" i="216"/>
  <c r="H47" i="216"/>
  <c r="H48" i="216"/>
  <c r="H49" i="216"/>
  <c r="H50" i="216"/>
  <c r="H51" i="216"/>
  <c r="H52" i="216"/>
  <c r="H53" i="216"/>
  <c r="H54" i="216"/>
  <c r="H55" i="216"/>
  <c r="H56" i="216"/>
  <c r="H57" i="216"/>
  <c r="H58" i="216"/>
  <c r="H59" i="216"/>
  <c r="H60" i="216"/>
  <c r="H61" i="216"/>
  <c r="H62" i="216"/>
  <c r="H63" i="216"/>
  <c r="H64" i="216"/>
  <c r="H65" i="216"/>
  <c r="H66" i="216"/>
  <c r="H67" i="216"/>
  <c r="H68" i="216"/>
  <c r="H69" i="216"/>
  <c r="H70" i="216"/>
  <c r="H36" i="216"/>
  <c r="H38" i="230"/>
  <c r="H39" i="230"/>
  <c r="H40" i="230"/>
  <c r="H41" i="230"/>
  <c r="H42" i="230"/>
  <c r="H43" i="230"/>
  <c r="H44" i="230"/>
  <c r="H45" i="230"/>
  <c r="H46" i="230"/>
  <c r="H47" i="230"/>
  <c r="H48" i="230"/>
  <c r="H49" i="230"/>
  <c r="H50" i="230"/>
  <c r="H51" i="230"/>
  <c r="H52" i="230"/>
  <c r="H53" i="230"/>
  <c r="H54" i="230"/>
  <c r="H55" i="230"/>
  <c r="H56" i="230"/>
  <c r="H57" i="230"/>
  <c r="H58" i="230"/>
  <c r="H59" i="230"/>
  <c r="H60" i="230"/>
  <c r="H61" i="230"/>
  <c r="H62" i="230"/>
  <c r="H63" i="230"/>
  <c r="H64" i="230"/>
  <c r="H65" i="230"/>
  <c r="H66" i="230"/>
  <c r="H67" i="230"/>
  <c r="H68" i="230"/>
  <c r="H69" i="230"/>
  <c r="H70" i="230"/>
  <c r="H71" i="230"/>
  <c r="H37" i="230"/>
  <c r="M7" i="230" l="1"/>
  <c r="N7" i="230"/>
  <c r="O7" i="230"/>
  <c r="P7" i="230"/>
  <c r="Q7" i="230"/>
  <c r="R7" i="230"/>
  <c r="S7" i="230"/>
  <c r="T7" i="230"/>
  <c r="U7" i="230"/>
  <c r="V7" i="230"/>
  <c r="W7" i="230"/>
  <c r="X7" i="230"/>
  <c r="Y7" i="230"/>
  <c r="Z7" i="230"/>
  <c r="AA7" i="230"/>
  <c r="AB7" i="230"/>
  <c r="AC7" i="230"/>
  <c r="AD7" i="230"/>
  <c r="AE7" i="230"/>
  <c r="AF7" i="230"/>
  <c r="AG7" i="230"/>
  <c r="AH7" i="230"/>
  <c r="AI7" i="230"/>
  <c r="AJ7" i="230"/>
  <c r="AK7" i="230"/>
  <c r="AL7" i="230"/>
  <c r="AM7" i="230"/>
  <c r="AN7" i="230"/>
  <c r="AO7" i="230"/>
  <c r="AP7" i="230"/>
  <c r="AQ7" i="230"/>
  <c r="AR7" i="230"/>
  <c r="AS7" i="230"/>
  <c r="AT7" i="230"/>
  <c r="AU7" i="230"/>
  <c r="AV7" i="230"/>
  <c r="AW7" i="230"/>
  <c r="AX7" i="230"/>
  <c r="AY7" i="230"/>
  <c r="AZ7" i="230"/>
  <c r="BA7" i="230"/>
  <c r="BB7" i="230"/>
  <c r="BC7" i="230"/>
  <c r="BD7" i="230"/>
  <c r="BE7" i="230"/>
  <c r="BF7" i="230"/>
  <c r="BG7" i="230"/>
  <c r="BH7" i="230"/>
  <c r="BI7" i="230"/>
  <c r="BJ7" i="230"/>
  <c r="BK7" i="230"/>
  <c r="BL7" i="230"/>
  <c r="BM7" i="230"/>
  <c r="BN7" i="230"/>
  <c r="BO7" i="230"/>
  <c r="BP7" i="230"/>
  <c r="BQ7" i="230"/>
  <c r="BR7" i="230"/>
  <c r="BS7" i="230"/>
  <c r="L7" i="230"/>
  <c r="M7" i="216"/>
  <c r="N7" i="216"/>
  <c r="O7" i="216"/>
  <c r="P7" i="216"/>
  <c r="Q7" i="216"/>
  <c r="R7" i="216"/>
  <c r="S7" i="216"/>
  <c r="T7" i="216"/>
  <c r="U7" i="216"/>
  <c r="V7" i="216"/>
  <c r="W7" i="216"/>
  <c r="X7" i="216"/>
  <c r="Y7" i="216"/>
  <c r="Z7" i="216"/>
  <c r="AA7" i="216"/>
  <c r="AB7" i="216"/>
  <c r="AC7" i="216"/>
  <c r="AD7" i="216"/>
  <c r="AE7" i="216"/>
  <c r="AF7" i="216"/>
  <c r="AG7" i="216"/>
  <c r="AH7" i="216"/>
  <c r="AI7" i="216"/>
  <c r="AJ7" i="216"/>
  <c r="AK7" i="216"/>
  <c r="AL7" i="216"/>
  <c r="AM7" i="216"/>
  <c r="AN7" i="216"/>
  <c r="AO7" i="216"/>
  <c r="AP7" i="216"/>
  <c r="AQ7" i="216"/>
  <c r="AR7" i="216"/>
  <c r="AS7" i="216"/>
  <c r="AT7" i="216"/>
  <c r="AU7" i="216"/>
  <c r="AV7" i="216"/>
  <c r="AW7" i="216"/>
  <c r="AX7" i="216"/>
  <c r="AY7" i="216"/>
  <c r="AZ7" i="216"/>
  <c r="BA7" i="216"/>
  <c r="BB7" i="216"/>
  <c r="BC7" i="216"/>
  <c r="BD7" i="216"/>
  <c r="BE7" i="216"/>
  <c r="BF7" i="216"/>
  <c r="BG7" i="216"/>
  <c r="BH7" i="216"/>
  <c r="BI7" i="216"/>
  <c r="BJ7" i="216"/>
  <c r="BK7" i="216"/>
  <c r="BL7" i="216"/>
  <c r="BM7" i="216"/>
  <c r="BN7" i="216"/>
  <c r="BO7" i="216"/>
  <c r="BP7" i="216"/>
  <c r="BQ7" i="216"/>
  <c r="BR7" i="216"/>
  <c r="BS7" i="216"/>
  <c r="L7" i="216"/>
  <c r="B8" i="244" l="1"/>
  <c r="B7" i="244"/>
  <c r="B6" i="244"/>
  <c r="B9" i="244" l="1"/>
  <c r="B32" i="244" s="1"/>
  <c r="B19" i="244" l="1"/>
  <c r="R8" i="242"/>
  <c r="O15" i="242"/>
  <c r="B33" i="244"/>
  <c r="R15" i="242" l="1"/>
  <c r="C28" i="244" l="1"/>
  <c r="B28" i="244" l="1"/>
  <c r="B18" i="244" s="1"/>
  <c r="B20" i="244" l="1"/>
  <c r="C37" i="230" l="1"/>
  <c r="D14" i="216" l="1"/>
  <c r="D15" i="216"/>
  <c r="D16" i="216"/>
  <c r="D17" i="216"/>
  <c r="D13" i="216"/>
  <c r="C14" i="216"/>
  <c r="C15" i="216"/>
  <c r="C16" i="216"/>
  <c r="C17" i="216"/>
  <c r="C13" i="216"/>
  <c r="F17" i="216"/>
  <c r="F16" i="216"/>
  <c r="F15" i="216"/>
  <c r="F14" i="216"/>
  <c r="F13" i="216" l="1"/>
  <c r="H16" i="216"/>
  <c r="E16" i="216" l="1"/>
  <c r="M31" i="216" l="1"/>
  <c r="I14" i="242" l="1"/>
  <c r="C17" i="212" l="1"/>
  <c r="D17" i="212"/>
  <c r="E17" i="212"/>
  <c r="F17" i="212"/>
  <c r="G17" i="212"/>
  <c r="C23" i="230" s="1"/>
  <c r="H17" i="212"/>
  <c r="D23" i="230" s="1"/>
  <c r="I17" i="212"/>
  <c r="I23" i="230" s="1"/>
  <c r="K17" i="212"/>
  <c r="M17" i="212"/>
  <c r="J17" i="212"/>
  <c r="L17" i="212" l="1"/>
  <c r="F23" i="230" s="1"/>
  <c r="N17" i="212"/>
  <c r="H15" i="216" l="1"/>
  <c r="E15" i="216" l="1"/>
  <c r="H17" i="216"/>
  <c r="E17" i="216"/>
  <c r="E14" i="216"/>
  <c r="H14" i="216"/>
  <c r="E13" i="216"/>
  <c r="H13" i="216"/>
  <c r="B5" i="230" l="1"/>
  <c r="B5" i="216"/>
  <c r="D48" i="212"/>
  <c r="D47" i="212"/>
  <c r="D46" i="212"/>
  <c r="D45" i="212"/>
  <c r="D44" i="212"/>
  <c r="D43" i="212"/>
  <c r="D42" i="212"/>
  <c r="D41" i="212"/>
  <c r="D40" i="212"/>
  <c r="D39" i="212"/>
  <c r="O23" i="212"/>
  <c r="I23" i="212"/>
  <c r="H23" i="212"/>
  <c r="G23" i="212"/>
  <c r="F23" i="212"/>
  <c r="E23" i="212"/>
  <c r="D23" i="212"/>
  <c r="C23" i="212"/>
  <c r="I15" i="212"/>
  <c r="I21" i="230" s="1"/>
  <c r="H15" i="212"/>
  <c r="D21" i="230" s="1"/>
  <c r="J16" i="212"/>
  <c r="E8" i="212"/>
  <c r="F8" i="212"/>
  <c r="G8" i="212"/>
  <c r="C14" i="230" s="1"/>
  <c r="H8" i="212"/>
  <c r="D14" i="230" s="1"/>
  <c r="I8" i="212"/>
  <c r="I14" i="230" s="1"/>
  <c r="E9" i="212"/>
  <c r="F9" i="212"/>
  <c r="G9" i="212"/>
  <c r="C15" i="230" s="1"/>
  <c r="H9" i="212"/>
  <c r="D15" i="230" s="1"/>
  <c r="I9" i="212"/>
  <c r="I15" i="230" s="1"/>
  <c r="E10" i="212"/>
  <c r="F10" i="212"/>
  <c r="G10" i="212"/>
  <c r="C16" i="230" s="1"/>
  <c r="H10" i="212"/>
  <c r="D16" i="230" s="1"/>
  <c r="I10" i="212"/>
  <c r="I16" i="230" s="1"/>
  <c r="E11" i="212"/>
  <c r="F11" i="212"/>
  <c r="G11" i="212"/>
  <c r="C17" i="230" s="1"/>
  <c r="H11" i="212"/>
  <c r="D17" i="230" s="1"/>
  <c r="I11" i="212"/>
  <c r="I17" i="230" s="1"/>
  <c r="E12" i="212"/>
  <c r="F12" i="212"/>
  <c r="G12" i="212"/>
  <c r="C18" i="230" s="1"/>
  <c r="H12" i="212"/>
  <c r="D18" i="230" s="1"/>
  <c r="I12" i="212"/>
  <c r="I18" i="230" s="1"/>
  <c r="E13" i="212"/>
  <c r="F13" i="212"/>
  <c r="G13" i="212"/>
  <c r="C19" i="230" s="1"/>
  <c r="H13" i="212"/>
  <c r="D19" i="230" s="1"/>
  <c r="I13" i="212"/>
  <c r="E14" i="212"/>
  <c r="F14" i="212"/>
  <c r="G14" i="212"/>
  <c r="C20" i="230" s="1"/>
  <c r="H14" i="212"/>
  <c r="D20" i="230" s="1"/>
  <c r="I14" i="212"/>
  <c r="E15" i="212"/>
  <c r="F15" i="212"/>
  <c r="G15" i="212"/>
  <c r="C21" i="230" s="1"/>
  <c r="E16" i="212"/>
  <c r="F16" i="212"/>
  <c r="G16" i="212"/>
  <c r="C22" i="230" s="1"/>
  <c r="H16" i="212"/>
  <c r="D22" i="230" s="1"/>
  <c r="I16" i="212"/>
  <c r="I22" i="230" s="1"/>
  <c r="I6" i="212"/>
  <c r="I12" i="230" s="1"/>
  <c r="H6" i="212"/>
  <c r="D12" i="230" s="1"/>
  <c r="G6" i="212"/>
  <c r="C12" i="230" s="1"/>
  <c r="F6" i="212"/>
  <c r="E6" i="212"/>
  <c r="D8" i="212"/>
  <c r="D9" i="212"/>
  <c r="D10" i="212"/>
  <c r="D11" i="212"/>
  <c r="D12" i="212"/>
  <c r="D13" i="212"/>
  <c r="D14" i="212"/>
  <c r="D15" i="212"/>
  <c r="D16" i="212"/>
  <c r="D6" i="212"/>
  <c r="C8" i="212"/>
  <c r="B14" i="230" s="1"/>
  <c r="C9" i="212"/>
  <c r="B15" i="230" s="1"/>
  <c r="C10" i="212"/>
  <c r="B16" i="230" s="1"/>
  <c r="C11" i="212"/>
  <c r="B17" i="230" s="1"/>
  <c r="C12" i="212"/>
  <c r="B18" i="230" s="1"/>
  <c r="C13" i="212"/>
  <c r="B19" i="230" s="1"/>
  <c r="C14" i="212"/>
  <c r="B20" i="230" s="1"/>
  <c r="C15" i="212"/>
  <c r="B21" i="230" s="1"/>
  <c r="C16" i="212"/>
  <c r="C6" i="212"/>
  <c r="I14" i="216" l="1"/>
  <c r="I17" i="216"/>
  <c r="I13" i="216"/>
  <c r="I15" i="216"/>
  <c r="I16" i="216"/>
  <c r="E22" i="230"/>
  <c r="B23" i="230"/>
  <c r="B22" i="230"/>
  <c r="I20" i="230"/>
  <c r="J20" i="230" s="1"/>
  <c r="I19" i="230"/>
  <c r="J19" i="230" s="1"/>
  <c r="J22" i="230"/>
  <c r="E12" i="230"/>
  <c r="E20" i="230"/>
  <c r="E19" i="230"/>
  <c r="J15" i="216" l="1"/>
  <c r="K15" i="216"/>
  <c r="J13" i="216"/>
  <c r="K13" i="216"/>
  <c r="J17" i="216"/>
  <c r="K17" i="216"/>
  <c r="J16" i="216"/>
  <c r="K16" i="216"/>
  <c r="J14" i="216"/>
  <c r="K14" i="216"/>
  <c r="K124" i="242" l="1"/>
  <c r="N124" i="242" s="1"/>
  <c r="K123" i="242"/>
  <c r="N123" i="242" s="1"/>
  <c r="K122" i="242"/>
  <c r="N122" i="242" s="1"/>
  <c r="K121" i="242"/>
  <c r="N121" i="242" s="1"/>
  <c r="K120" i="242"/>
  <c r="N120" i="242" s="1"/>
  <c r="K119" i="242"/>
  <c r="N119" i="242" s="1"/>
  <c r="K118" i="242"/>
  <c r="N118" i="242" s="1"/>
  <c r="K117" i="242"/>
  <c r="N117" i="242" s="1"/>
  <c r="K116" i="242"/>
  <c r="N116" i="242" s="1"/>
  <c r="K115" i="242"/>
  <c r="N115" i="242" s="1"/>
  <c r="K114" i="242"/>
  <c r="N114" i="242" s="1"/>
  <c r="K113" i="242"/>
  <c r="N113" i="242" s="1"/>
  <c r="K112" i="242"/>
  <c r="N112" i="242" s="1"/>
  <c r="K111" i="242"/>
  <c r="N111" i="242" s="1"/>
  <c r="K110" i="242"/>
  <c r="N110" i="242" s="1"/>
  <c r="K109" i="242"/>
  <c r="N109" i="242" s="1"/>
  <c r="K108" i="242"/>
  <c r="N108" i="242" s="1"/>
  <c r="K107" i="242"/>
  <c r="N107" i="242" s="1"/>
  <c r="K106" i="242"/>
  <c r="N106" i="242" s="1"/>
  <c r="K105" i="242"/>
  <c r="N105" i="242" s="1"/>
  <c r="K104" i="242"/>
  <c r="N104" i="242" s="1"/>
  <c r="K103" i="242"/>
  <c r="N103" i="242" s="1"/>
  <c r="K102" i="242"/>
  <c r="N102" i="242" s="1"/>
  <c r="K101" i="242"/>
  <c r="N101" i="242" s="1"/>
  <c r="K100" i="242"/>
  <c r="N100" i="242" s="1"/>
  <c r="K99" i="242"/>
  <c r="N99" i="242" s="1"/>
  <c r="K98" i="242"/>
  <c r="N98" i="242" s="1"/>
  <c r="K97" i="242"/>
  <c r="N97" i="242" s="1"/>
  <c r="K96" i="242"/>
  <c r="N96" i="242" s="1"/>
  <c r="K95" i="242"/>
  <c r="N95" i="242" s="1"/>
  <c r="K94" i="242"/>
  <c r="N94" i="242" s="1"/>
  <c r="K93" i="242"/>
  <c r="N93" i="242" s="1"/>
  <c r="K92" i="242"/>
  <c r="N92" i="242" s="1"/>
  <c r="K91" i="242"/>
  <c r="N91" i="242" s="1"/>
  <c r="K90" i="242"/>
  <c r="N90" i="242" s="1"/>
  <c r="K89" i="242"/>
  <c r="N89" i="242" s="1"/>
  <c r="K88" i="242"/>
  <c r="N88" i="242" s="1"/>
  <c r="K87" i="242"/>
  <c r="N87" i="242" s="1"/>
  <c r="K86" i="242"/>
  <c r="N86" i="242" s="1"/>
  <c r="K85" i="242"/>
  <c r="N85" i="242" s="1"/>
  <c r="K84" i="242"/>
  <c r="N84" i="242" s="1"/>
  <c r="K83" i="242"/>
  <c r="N83" i="242" s="1"/>
  <c r="K82" i="242"/>
  <c r="N82" i="242" s="1"/>
  <c r="K81" i="242"/>
  <c r="N81" i="242" s="1"/>
  <c r="K80" i="242"/>
  <c r="N80" i="242" s="1"/>
  <c r="K79" i="242"/>
  <c r="N79" i="242" s="1"/>
  <c r="K78" i="242"/>
  <c r="N78" i="242" s="1"/>
  <c r="K77" i="242"/>
  <c r="N77" i="242" s="1"/>
  <c r="K76" i="242"/>
  <c r="N76" i="242" s="1"/>
  <c r="K75" i="242"/>
  <c r="N75" i="242" s="1"/>
  <c r="K74" i="242"/>
  <c r="N74" i="242" s="1"/>
  <c r="K73" i="242"/>
  <c r="N73" i="242" s="1"/>
  <c r="K72" i="242"/>
  <c r="N72" i="242" s="1"/>
  <c r="K71" i="242"/>
  <c r="N71" i="242" s="1"/>
  <c r="K70" i="242"/>
  <c r="N70" i="242" s="1"/>
  <c r="K69" i="242"/>
  <c r="N69" i="242" s="1"/>
  <c r="K68" i="242"/>
  <c r="N68" i="242" s="1"/>
  <c r="K67" i="242"/>
  <c r="N67" i="242" s="1"/>
  <c r="K66" i="242"/>
  <c r="N66" i="242" s="1"/>
  <c r="K65" i="242"/>
  <c r="N65" i="242" s="1"/>
  <c r="K64" i="242"/>
  <c r="N64" i="242" s="1"/>
  <c r="K63" i="242"/>
  <c r="N63" i="242" s="1"/>
  <c r="K62" i="242"/>
  <c r="N62" i="242" s="1"/>
  <c r="K61" i="242"/>
  <c r="N61" i="242" s="1"/>
  <c r="K60" i="242"/>
  <c r="N60" i="242" s="1"/>
  <c r="K59" i="242"/>
  <c r="N59" i="242" s="1"/>
  <c r="K58" i="242"/>
  <c r="N58" i="242" s="1"/>
  <c r="K57" i="242"/>
  <c r="N57" i="242" s="1"/>
  <c r="K56" i="242"/>
  <c r="N56" i="242" s="1"/>
  <c r="K55" i="242"/>
  <c r="N55" i="242" s="1"/>
  <c r="K54" i="242"/>
  <c r="N54" i="242" s="1"/>
  <c r="K53" i="242"/>
  <c r="N53" i="242" s="1"/>
  <c r="K52" i="242"/>
  <c r="N52" i="242" s="1"/>
  <c r="K51" i="242"/>
  <c r="N51" i="242" s="1"/>
  <c r="K50" i="242"/>
  <c r="N50" i="242" s="1"/>
  <c r="K49" i="242"/>
  <c r="N49" i="242" s="1"/>
  <c r="K48" i="242"/>
  <c r="N48" i="242" s="1"/>
  <c r="K47" i="242"/>
  <c r="N47" i="242" s="1"/>
  <c r="K46" i="242"/>
  <c r="N46" i="242" s="1"/>
  <c r="K45" i="242"/>
  <c r="N45" i="242" s="1"/>
  <c r="K44" i="242"/>
  <c r="N44" i="242" s="1"/>
  <c r="K43" i="242"/>
  <c r="N43" i="242" s="1"/>
  <c r="K42" i="242"/>
  <c r="N42" i="242" s="1"/>
  <c r="K41" i="242"/>
  <c r="N41" i="242" s="1"/>
  <c r="K40" i="242"/>
  <c r="N40" i="242" s="1"/>
  <c r="K39" i="242"/>
  <c r="N39" i="242" s="1"/>
  <c r="K38" i="242"/>
  <c r="N38" i="242" s="1"/>
  <c r="K37" i="242"/>
  <c r="N37" i="242" s="1"/>
  <c r="K36" i="242"/>
  <c r="N36" i="242" s="1"/>
  <c r="K35" i="242"/>
  <c r="N35" i="242" s="1"/>
  <c r="K34" i="242"/>
  <c r="N34" i="242" s="1"/>
  <c r="K33" i="242"/>
  <c r="N33" i="242" s="1"/>
  <c r="K32" i="242"/>
  <c r="N32" i="242" s="1"/>
  <c r="K31" i="242"/>
  <c r="N31" i="242" s="1"/>
  <c r="K30" i="242"/>
  <c r="N30" i="242" s="1"/>
  <c r="K29" i="242"/>
  <c r="N29" i="242" s="1"/>
  <c r="K28" i="242"/>
  <c r="N28" i="242" s="1"/>
  <c r="K27" i="242"/>
  <c r="N27" i="242" s="1"/>
  <c r="K26" i="242"/>
  <c r="N26" i="242" s="1"/>
  <c r="K25" i="242"/>
  <c r="N25" i="242" s="1"/>
  <c r="K24" i="242"/>
  <c r="N24" i="242" s="1"/>
  <c r="K23" i="242"/>
  <c r="N23" i="242" s="1"/>
  <c r="K22" i="242"/>
  <c r="N22" i="242" s="1"/>
  <c r="K21" i="242"/>
  <c r="N21" i="242" s="1"/>
  <c r="K20" i="242"/>
  <c r="N20" i="242" s="1"/>
  <c r="K19" i="242"/>
  <c r="N19" i="242" s="1"/>
  <c r="K18" i="242"/>
  <c r="N18" i="242" s="1"/>
  <c r="K17" i="242"/>
  <c r="N17" i="242" s="1"/>
  <c r="K16" i="242"/>
  <c r="N16" i="242" s="1"/>
  <c r="O16" i="242" s="1"/>
  <c r="K15" i="242"/>
  <c r="E15" i="242"/>
  <c r="D15" i="242" s="1"/>
  <c r="C14" i="242" s="1"/>
  <c r="K14" i="242"/>
  <c r="J14" i="242"/>
  <c r="J15" i="242" s="1"/>
  <c r="J16" i="242" s="1"/>
  <c r="J17" i="242" s="1"/>
  <c r="J18" i="242" s="1"/>
  <c r="J19" i="242" s="1"/>
  <c r="J20" i="242" s="1"/>
  <c r="J21" i="242" s="1"/>
  <c r="J22" i="242" s="1"/>
  <c r="J23" i="242" s="1"/>
  <c r="J24" i="242" s="1"/>
  <c r="J25" i="242" s="1"/>
  <c r="J26" i="242" s="1"/>
  <c r="J27" i="242" s="1"/>
  <c r="J28" i="242" s="1"/>
  <c r="J29" i="242" s="1"/>
  <c r="J30" i="242" s="1"/>
  <c r="J31" i="242" s="1"/>
  <c r="J32" i="242" s="1"/>
  <c r="J33" i="242" s="1"/>
  <c r="J34" i="242" s="1"/>
  <c r="J35" i="242" s="1"/>
  <c r="J36" i="242" s="1"/>
  <c r="J37" i="242" s="1"/>
  <c r="J38" i="242" s="1"/>
  <c r="J39" i="242" s="1"/>
  <c r="J40" i="242" s="1"/>
  <c r="J41" i="242" s="1"/>
  <c r="J42" i="242" s="1"/>
  <c r="J43" i="242" s="1"/>
  <c r="J44" i="242" s="1"/>
  <c r="J45" i="242" s="1"/>
  <c r="J46" i="242" s="1"/>
  <c r="J47" i="242" s="1"/>
  <c r="J48" i="242" s="1"/>
  <c r="J49" i="242" s="1"/>
  <c r="J50" i="242" s="1"/>
  <c r="J51" i="242" s="1"/>
  <c r="J52" i="242" s="1"/>
  <c r="J53" i="242" s="1"/>
  <c r="J54" i="242" s="1"/>
  <c r="J55" i="242" s="1"/>
  <c r="J56" i="242" s="1"/>
  <c r="J57" i="242" s="1"/>
  <c r="J58" i="242" s="1"/>
  <c r="J59" i="242" s="1"/>
  <c r="J60" i="242" s="1"/>
  <c r="J61" i="242" s="1"/>
  <c r="J62" i="242" s="1"/>
  <c r="J63" i="242" s="1"/>
  <c r="J64" i="242" s="1"/>
  <c r="J65" i="242" s="1"/>
  <c r="J66" i="242" s="1"/>
  <c r="J67" i="242" s="1"/>
  <c r="J68" i="242" s="1"/>
  <c r="J69" i="242" s="1"/>
  <c r="J70" i="242" s="1"/>
  <c r="J71" i="242" s="1"/>
  <c r="J72" i="242" s="1"/>
  <c r="J73" i="242" s="1"/>
  <c r="J74" i="242" s="1"/>
  <c r="J75" i="242" s="1"/>
  <c r="J76" i="242" s="1"/>
  <c r="J77" i="242" s="1"/>
  <c r="J78" i="242" s="1"/>
  <c r="J79" i="242" s="1"/>
  <c r="J80" i="242" s="1"/>
  <c r="J81" i="242" s="1"/>
  <c r="J82" i="242" s="1"/>
  <c r="J83" i="242" s="1"/>
  <c r="J84" i="242" s="1"/>
  <c r="J85" i="242" s="1"/>
  <c r="J86" i="242" s="1"/>
  <c r="J87" i="242" s="1"/>
  <c r="J88" i="242" s="1"/>
  <c r="J89" i="242" s="1"/>
  <c r="J90" i="242" s="1"/>
  <c r="J91" i="242" s="1"/>
  <c r="J92" i="242" s="1"/>
  <c r="J93" i="242" s="1"/>
  <c r="J94" i="242" s="1"/>
  <c r="J95" i="242" s="1"/>
  <c r="J96" i="242" s="1"/>
  <c r="J97" i="242" s="1"/>
  <c r="J98" i="242" s="1"/>
  <c r="J99" i="242" s="1"/>
  <c r="J100" i="242" s="1"/>
  <c r="J101" i="242" s="1"/>
  <c r="J102" i="242" s="1"/>
  <c r="J103" i="242" s="1"/>
  <c r="J104" i="242" s="1"/>
  <c r="J105" i="242" s="1"/>
  <c r="J106" i="242" s="1"/>
  <c r="J107" i="242" s="1"/>
  <c r="J108" i="242" s="1"/>
  <c r="J109" i="242" s="1"/>
  <c r="J110" i="242" s="1"/>
  <c r="J111" i="242" s="1"/>
  <c r="J112" i="242" s="1"/>
  <c r="J113" i="242" s="1"/>
  <c r="J114" i="242" s="1"/>
  <c r="J115" i="242" s="1"/>
  <c r="J116" i="242" s="1"/>
  <c r="J117" i="242" s="1"/>
  <c r="J118" i="242" s="1"/>
  <c r="J119" i="242" s="1"/>
  <c r="J120" i="242" s="1"/>
  <c r="J121" i="242" s="1"/>
  <c r="J122" i="242" s="1"/>
  <c r="J123" i="242" s="1"/>
  <c r="J124" i="242" s="1"/>
  <c r="I15" i="242"/>
  <c r="I16" i="242" s="1"/>
  <c r="I17" i="242" s="1"/>
  <c r="I18" i="242" s="1"/>
  <c r="I19" i="242" s="1"/>
  <c r="I20" i="242" s="1"/>
  <c r="I21" i="242" s="1"/>
  <c r="I22" i="242" s="1"/>
  <c r="I23" i="242" s="1"/>
  <c r="I24" i="242" s="1"/>
  <c r="I25" i="242" s="1"/>
  <c r="I26" i="242" s="1"/>
  <c r="I27" i="242" s="1"/>
  <c r="I28" i="242" s="1"/>
  <c r="I29" i="242" s="1"/>
  <c r="I30" i="242" s="1"/>
  <c r="I31" i="242" s="1"/>
  <c r="I32" i="242" s="1"/>
  <c r="I33" i="242" s="1"/>
  <c r="I34" i="242" s="1"/>
  <c r="I35" i="242" s="1"/>
  <c r="I36" i="242" s="1"/>
  <c r="I37" i="242" s="1"/>
  <c r="I38" i="242" s="1"/>
  <c r="I39" i="242" s="1"/>
  <c r="I40" i="242" s="1"/>
  <c r="I41" i="242" s="1"/>
  <c r="I42" i="242" s="1"/>
  <c r="I43" i="242" s="1"/>
  <c r="I44" i="242" s="1"/>
  <c r="I45" i="242" s="1"/>
  <c r="I46" i="242" s="1"/>
  <c r="I47" i="242" s="1"/>
  <c r="I48" i="242" s="1"/>
  <c r="I49" i="242" s="1"/>
  <c r="I50" i="242" s="1"/>
  <c r="I51" i="242" s="1"/>
  <c r="I52" i="242" s="1"/>
  <c r="I53" i="242" s="1"/>
  <c r="I54" i="242" s="1"/>
  <c r="I55" i="242" s="1"/>
  <c r="I56" i="242" s="1"/>
  <c r="I57" i="242" s="1"/>
  <c r="I58" i="242" s="1"/>
  <c r="I59" i="242" s="1"/>
  <c r="I60" i="242" s="1"/>
  <c r="I61" i="242" s="1"/>
  <c r="I62" i="242" s="1"/>
  <c r="I63" i="242" s="1"/>
  <c r="I64" i="242" s="1"/>
  <c r="I65" i="242" s="1"/>
  <c r="I66" i="242" s="1"/>
  <c r="I67" i="242" s="1"/>
  <c r="I68" i="242" s="1"/>
  <c r="I69" i="242" s="1"/>
  <c r="I70" i="242" s="1"/>
  <c r="I71" i="242" s="1"/>
  <c r="I72" i="242" s="1"/>
  <c r="I73" i="242" s="1"/>
  <c r="I74" i="242" s="1"/>
  <c r="I75" i="242" s="1"/>
  <c r="I76" i="242" s="1"/>
  <c r="I77" i="242" s="1"/>
  <c r="I78" i="242" s="1"/>
  <c r="I79" i="242" s="1"/>
  <c r="I80" i="242" s="1"/>
  <c r="I81" i="242" s="1"/>
  <c r="I82" i="242" s="1"/>
  <c r="I83" i="242" s="1"/>
  <c r="I84" i="242" s="1"/>
  <c r="I85" i="242" s="1"/>
  <c r="I86" i="242" s="1"/>
  <c r="I87" i="242" s="1"/>
  <c r="I88" i="242" s="1"/>
  <c r="I89" i="242" s="1"/>
  <c r="I90" i="242" s="1"/>
  <c r="I91" i="242" s="1"/>
  <c r="I92" i="242" s="1"/>
  <c r="I93" i="242" s="1"/>
  <c r="I94" i="242" s="1"/>
  <c r="I95" i="242" s="1"/>
  <c r="I96" i="242" s="1"/>
  <c r="I97" i="242" s="1"/>
  <c r="I98" i="242" s="1"/>
  <c r="I99" i="242" s="1"/>
  <c r="I100" i="242" s="1"/>
  <c r="I101" i="242" s="1"/>
  <c r="I102" i="242" s="1"/>
  <c r="I103" i="242" s="1"/>
  <c r="I104" i="242" s="1"/>
  <c r="I105" i="242" s="1"/>
  <c r="I106" i="242" s="1"/>
  <c r="I107" i="242" s="1"/>
  <c r="I108" i="242" s="1"/>
  <c r="I109" i="242" s="1"/>
  <c r="I110" i="242" s="1"/>
  <c r="I111" i="242" s="1"/>
  <c r="I112" i="242" s="1"/>
  <c r="I113" i="242" s="1"/>
  <c r="I114" i="242" s="1"/>
  <c r="I115" i="242" s="1"/>
  <c r="I116" i="242" s="1"/>
  <c r="I117" i="242" s="1"/>
  <c r="I118" i="242" s="1"/>
  <c r="I119" i="242" s="1"/>
  <c r="I120" i="242" s="1"/>
  <c r="I121" i="242" s="1"/>
  <c r="I122" i="242" s="1"/>
  <c r="I123" i="242" s="1"/>
  <c r="I124" i="242" s="1"/>
  <c r="O17" i="242" l="1"/>
  <c r="O18" i="242" s="1"/>
  <c r="R16" i="242"/>
  <c r="E16" i="242"/>
  <c r="L15" i="242"/>
  <c r="L16" i="242" s="1"/>
  <c r="R18" i="242" l="1"/>
  <c r="G39" i="216" s="1"/>
  <c r="O19" i="242"/>
  <c r="R17" i="242"/>
  <c r="G38" i="216" s="1"/>
  <c r="G36" i="216"/>
  <c r="G37" i="230"/>
  <c r="L17" i="242"/>
  <c r="G37" i="216"/>
  <c r="G38" i="230"/>
  <c r="E17" i="242"/>
  <c r="E18" i="242" s="1"/>
  <c r="D16" i="242"/>
  <c r="G40" i="230" l="1"/>
  <c r="G39" i="230"/>
  <c r="R19" i="242"/>
  <c r="O20" i="242"/>
  <c r="L18" i="242"/>
  <c r="C15" i="242"/>
  <c r="E19" i="242"/>
  <c r="E20" i="242" s="1"/>
  <c r="E21" i="242" s="1"/>
  <c r="D17" i="242"/>
  <c r="R20" i="242" l="1"/>
  <c r="O21" i="242"/>
  <c r="G41" i="230"/>
  <c r="G40" i="216"/>
  <c r="L19" i="242"/>
  <c r="D18" i="242"/>
  <c r="C16" i="242"/>
  <c r="E22" i="242"/>
  <c r="R21" i="242" l="1"/>
  <c r="O22" i="242"/>
  <c r="G41" i="216"/>
  <c r="G42" i="230"/>
  <c r="L20" i="242"/>
  <c r="D19" i="242"/>
  <c r="C17" i="242"/>
  <c r="E23" i="242"/>
  <c r="G42" i="216" l="1"/>
  <c r="G43" i="230"/>
  <c r="R22" i="242"/>
  <c r="O23" i="242"/>
  <c r="L21" i="242"/>
  <c r="D20" i="242"/>
  <c r="C18" i="242"/>
  <c r="E24" i="242"/>
  <c r="R23" i="242" l="1"/>
  <c r="O24" i="242"/>
  <c r="G44" i="230"/>
  <c r="G43" i="216"/>
  <c r="L22" i="242"/>
  <c r="D21" i="242"/>
  <c r="C20" i="242" s="1"/>
  <c r="C19" i="242"/>
  <c r="E25" i="242"/>
  <c r="R24" i="242" l="1"/>
  <c r="O25" i="242"/>
  <c r="G44" i="216"/>
  <c r="G45" i="230"/>
  <c r="L23" i="242"/>
  <c r="D22" i="242"/>
  <c r="C21" i="242" s="1"/>
  <c r="E26" i="242"/>
  <c r="D23" i="242" l="1"/>
  <c r="D24" i="242" s="1"/>
  <c r="R25" i="242"/>
  <c r="O26" i="242"/>
  <c r="G45" i="216"/>
  <c r="G46" i="230"/>
  <c r="L24" i="242"/>
  <c r="E27" i="242"/>
  <c r="C22" i="242"/>
  <c r="R26" i="242" l="1"/>
  <c r="O27" i="242"/>
  <c r="G47" i="230"/>
  <c r="G46" i="216"/>
  <c r="L25" i="242"/>
  <c r="C23" i="242"/>
  <c r="D25" i="242"/>
  <c r="E28" i="242"/>
  <c r="R27" i="242" l="1"/>
  <c r="O28" i="242"/>
  <c r="G47" i="216"/>
  <c r="G48" i="230"/>
  <c r="L26" i="242"/>
  <c r="C24" i="242"/>
  <c r="D26" i="242"/>
  <c r="E29" i="242"/>
  <c r="R28" i="242" l="1"/>
  <c r="O29" i="242"/>
  <c r="G48" i="216"/>
  <c r="G49" i="230"/>
  <c r="L27" i="242"/>
  <c r="E30" i="242"/>
  <c r="C25" i="242"/>
  <c r="D27" i="242"/>
  <c r="R29" i="242" l="1"/>
  <c r="O30" i="242"/>
  <c r="G50" i="230"/>
  <c r="G49" i="216"/>
  <c r="L28" i="242"/>
  <c r="C26" i="242"/>
  <c r="D28" i="242"/>
  <c r="E31" i="242"/>
  <c r="R30" i="242" l="1"/>
  <c r="O31" i="242"/>
  <c r="G51" i="230"/>
  <c r="G50" i="216"/>
  <c r="L29" i="242"/>
  <c r="E32" i="242"/>
  <c r="C27" i="242"/>
  <c r="D29" i="242"/>
  <c r="R31" i="242" l="1"/>
  <c r="O32" i="242"/>
  <c r="G51" i="216"/>
  <c r="G52" i="230"/>
  <c r="L30" i="242"/>
  <c r="C28" i="242"/>
  <c r="D30" i="242"/>
  <c r="E33" i="242"/>
  <c r="R32" i="242" l="1"/>
  <c r="O33" i="242"/>
  <c r="G53" i="230"/>
  <c r="G52" i="216"/>
  <c r="L31" i="242"/>
  <c r="E34" i="242"/>
  <c r="C29" i="242"/>
  <c r="D31" i="242"/>
  <c r="R33" i="242" l="1"/>
  <c r="O34" i="242"/>
  <c r="G53" i="216"/>
  <c r="G54" i="230"/>
  <c r="L32" i="242"/>
  <c r="C30" i="242"/>
  <c r="D32" i="242"/>
  <c r="E35" i="242"/>
  <c r="R34" i="242" l="1"/>
  <c r="O35" i="242"/>
  <c r="G55" i="230"/>
  <c r="G54" i="216"/>
  <c r="L33" i="242"/>
  <c r="E36" i="242"/>
  <c r="C31" i="242"/>
  <c r="D33" i="242"/>
  <c r="G56" i="230" l="1"/>
  <c r="G55" i="216"/>
  <c r="R35" i="242"/>
  <c r="O36" i="242"/>
  <c r="L34" i="242"/>
  <c r="C32" i="242"/>
  <c r="D34" i="242"/>
  <c r="E37" i="242"/>
  <c r="R36" i="242" l="1"/>
  <c r="O37" i="242"/>
  <c r="G57" i="230"/>
  <c r="G56" i="216"/>
  <c r="L35" i="242"/>
  <c r="E38" i="242"/>
  <c r="C33" i="242"/>
  <c r="D35" i="242"/>
  <c r="R37" i="242" l="1"/>
  <c r="O38" i="242"/>
  <c r="G57" i="216"/>
  <c r="G58" i="230"/>
  <c r="L36" i="242"/>
  <c r="E39" i="242"/>
  <c r="C34" i="242"/>
  <c r="D36" i="242"/>
  <c r="R38" i="242" l="1"/>
  <c r="O39" i="242"/>
  <c r="G58" i="216"/>
  <c r="G59" i="230"/>
  <c r="L37" i="242"/>
  <c r="C35" i="242"/>
  <c r="D37" i="242"/>
  <c r="E40" i="242"/>
  <c r="R39" i="242" l="1"/>
  <c r="O40" i="242"/>
  <c r="G60" i="230"/>
  <c r="G59" i="216"/>
  <c r="L38" i="242"/>
  <c r="E41" i="242"/>
  <c r="C36" i="242"/>
  <c r="D38" i="242"/>
  <c r="R40" i="242" l="1"/>
  <c r="O41" i="242"/>
  <c r="G60" i="216"/>
  <c r="G61" i="230"/>
  <c r="L39" i="242"/>
  <c r="C37" i="242"/>
  <c r="D39" i="242"/>
  <c r="E42" i="242"/>
  <c r="R41" i="242" l="1"/>
  <c r="O42" i="242"/>
  <c r="G62" i="230"/>
  <c r="G61" i="216"/>
  <c r="L40" i="242"/>
  <c r="E43" i="242"/>
  <c r="C38" i="242"/>
  <c r="D40" i="242"/>
  <c r="R42" i="242" l="1"/>
  <c r="O43" i="242"/>
  <c r="G63" i="230"/>
  <c r="G62" i="216"/>
  <c r="L41" i="242"/>
  <c r="E44" i="242"/>
  <c r="C39" i="242"/>
  <c r="D41" i="242"/>
  <c r="R43" i="242" l="1"/>
  <c r="O44" i="242"/>
  <c r="G64" i="230"/>
  <c r="G63" i="216"/>
  <c r="L42" i="242"/>
  <c r="C40" i="242"/>
  <c r="D42" i="242"/>
  <c r="E45" i="242"/>
  <c r="R44" i="242" l="1"/>
  <c r="O45" i="242"/>
  <c r="G65" i="230"/>
  <c r="G64" i="216"/>
  <c r="L43" i="242"/>
  <c r="C41" i="242"/>
  <c r="D43" i="242"/>
  <c r="E46" i="242"/>
  <c r="G66" i="230" l="1"/>
  <c r="G65" i="216"/>
  <c r="R45" i="242"/>
  <c r="O46" i="242"/>
  <c r="L44" i="242"/>
  <c r="E47" i="242"/>
  <c r="C42" i="242"/>
  <c r="D44" i="242"/>
  <c r="R46" i="242" l="1"/>
  <c r="O47" i="242"/>
  <c r="G66" i="216"/>
  <c r="G67" i="230"/>
  <c r="L45" i="242"/>
  <c r="C43" i="242"/>
  <c r="D45" i="242"/>
  <c r="E48" i="242"/>
  <c r="R47" i="242" l="1"/>
  <c r="O48" i="242"/>
  <c r="G68" i="230"/>
  <c r="G67" i="216"/>
  <c r="L46" i="242"/>
  <c r="E49" i="242"/>
  <c r="C44" i="242"/>
  <c r="D46" i="242"/>
  <c r="G68" i="216" l="1"/>
  <c r="G69" i="230"/>
  <c r="R48" i="242"/>
  <c r="O49" i="242"/>
  <c r="L47" i="242"/>
  <c r="C45" i="242"/>
  <c r="D47" i="242"/>
  <c r="E50" i="242"/>
  <c r="R49" i="242" l="1"/>
  <c r="O50" i="242"/>
  <c r="G69" i="216"/>
  <c r="G70" i="230"/>
  <c r="L48" i="242"/>
  <c r="E51" i="242"/>
  <c r="C46" i="242"/>
  <c r="D48" i="242"/>
  <c r="R50" i="242" l="1"/>
  <c r="O51" i="242"/>
  <c r="G71" i="230"/>
  <c r="G70" i="216"/>
  <c r="L49" i="242"/>
  <c r="C47" i="242"/>
  <c r="D49" i="242"/>
  <c r="E52" i="242"/>
  <c r="O52" i="242" l="1"/>
  <c r="R51" i="242"/>
  <c r="L50" i="242"/>
  <c r="C48" i="242"/>
  <c r="D50" i="242"/>
  <c r="E53" i="242"/>
  <c r="R52" i="242" l="1"/>
  <c r="O53" i="242"/>
  <c r="L51" i="242"/>
  <c r="E54" i="242"/>
  <c r="C49" i="242"/>
  <c r="D51" i="242"/>
  <c r="R53" i="242" l="1"/>
  <c r="O54" i="242"/>
  <c r="L52" i="242"/>
  <c r="C50" i="242"/>
  <c r="D52" i="242"/>
  <c r="E55" i="242"/>
  <c r="O55" i="242" l="1"/>
  <c r="R54" i="242"/>
  <c r="L53" i="242"/>
  <c r="C51" i="242"/>
  <c r="D53" i="242"/>
  <c r="E56" i="242"/>
  <c r="O56" i="242" l="1"/>
  <c r="R55" i="242"/>
  <c r="L54" i="242"/>
  <c r="E57" i="242"/>
  <c r="C52" i="242"/>
  <c r="D54" i="242"/>
  <c r="R56" i="242" l="1"/>
  <c r="O57" i="242"/>
  <c r="L55" i="242"/>
  <c r="E58" i="242"/>
  <c r="C53" i="242"/>
  <c r="D55" i="242"/>
  <c r="R57" i="242" l="1"/>
  <c r="O58" i="242"/>
  <c r="L56" i="242"/>
  <c r="C54" i="242"/>
  <c r="D56" i="242"/>
  <c r="E59" i="242"/>
  <c r="R58" i="242" l="1"/>
  <c r="O59" i="242"/>
  <c r="L57" i="242"/>
  <c r="C55" i="242"/>
  <c r="D57" i="242"/>
  <c r="E60" i="242"/>
  <c r="R59" i="242" l="1"/>
  <c r="O60" i="242"/>
  <c r="L58" i="242"/>
  <c r="C56" i="242"/>
  <c r="D58" i="242"/>
  <c r="E61" i="242"/>
  <c r="R60" i="242" l="1"/>
  <c r="O61" i="242"/>
  <c r="L59" i="242"/>
  <c r="E62" i="242"/>
  <c r="C57" i="242"/>
  <c r="D59" i="242"/>
  <c r="R61" i="242" l="1"/>
  <c r="O62" i="242"/>
  <c r="L60" i="242"/>
  <c r="C58" i="242"/>
  <c r="D60" i="242"/>
  <c r="E63" i="242"/>
  <c r="R62" i="242" l="1"/>
  <c r="O63" i="242"/>
  <c r="L61" i="242"/>
  <c r="C59" i="242"/>
  <c r="D61" i="242"/>
  <c r="E64" i="242"/>
  <c r="O64" i="242" l="1"/>
  <c r="R63" i="242"/>
  <c r="L62" i="242"/>
  <c r="E65" i="242"/>
  <c r="C60" i="242"/>
  <c r="D62" i="242"/>
  <c r="O65" i="242" l="1"/>
  <c r="R64" i="242"/>
  <c r="L63" i="242"/>
  <c r="C61" i="242"/>
  <c r="D63" i="242"/>
  <c r="E66" i="242"/>
  <c r="R65" i="242" l="1"/>
  <c r="O66" i="242"/>
  <c r="L64" i="242"/>
  <c r="E67" i="242"/>
  <c r="C62" i="242"/>
  <c r="D64" i="242"/>
  <c r="O67" i="242" l="1"/>
  <c r="R66" i="242"/>
  <c r="L65" i="242"/>
  <c r="E68" i="242"/>
  <c r="C63" i="242"/>
  <c r="D65" i="242"/>
  <c r="O68" i="242" l="1"/>
  <c r="R67" i="242"/>
  <c r="L66" i="242"/>
  <c r="C64" i="242"/>
  <c r="D66" i="242"/>
  <c r="E69" i="242"/>
  <c r="O69" i="242" l="1"/>
  <c r="R68" i="242"/>
  <c r="L67" i="242"/>
  <c r="E70" i="242"/>
  <c r="C65" i="242"/>
  <c r="D67" i="242"/>
  <c r="O70" i="242" l="1"/>
  <c r="R69" i="242"/>
  <c r="L68" i="242"/>
  <c r="C66" i="242"/>
  <c r="D68" i="242"/>
  <c r="E71" i="242"/>
  <c r="R70" i="242" l="1"/>
  <c r="O71" i="242"/>
  <c r="L69" i="242"/>
  <c r="E72" i="242"/>
  <c r="C67" i="242"/>
  <c r="D69" i="242"/>
  <c r="O72" i="242" l="1"/>
  <c r="R71" i="242"/>
  <c r="L70" i="242"/>
  <c r="C68" i="242"/>
  <c r="D70" i="242"/>
  <c r="E73" i="242"/>
  <c r="R72" i="242" l="1"/>
  <c r="O73" i="242"/>
  <c r="L71" i="242"/>
  <c r="E74" i="242"/>
  <c r="C69" i="242"/>
  <c r="D71" i="242"/>
  <c r="R73" i="242" l="1"/>
  <c r="O74" i="242"/>
  <c r="L72" i="242"/>
  <c r="C70" i="242"/>
  <c r="D72" i="242"/>
  <c r="E75" i="242"/>
  <c r="R74" i="242" l="1"/>
  <c r="O75" i="242"/>
  <c r="L73" i="242"/>
  <c r="E76" i="242"/>
  <c r="C71" i="242"/>
  <c r="D73" i="242"/>
  <c r="R75" i="242" l="1"/>
  <c r="O76" i="242"/>
  <c r="L74" i="242"/>
  <c r="C72" i="242"/>
  <c r="D74" i="242"/>
  <c r="E77" i="242"/>
  <c r="O77" i="242" l="1"/>
  <c r="R76" i="242"/>
  <c r="L75" i="242"/>
  <c r="E78" i="242"/>
  <c r="C73" i="242"/>
  <c r="D75" i="242"/>
  <c r="R77" i="242" l="1"/>
  <c r="O78" i="242"/>
  <c r="L76" i="242"/>
  <c r="C74" i="242"/>
  <c r="D76" i="242"/>
  <c r="E79" i="242"/>
  <c r="R78" i="242" l="1"/>
  <c r="O79" i="242"/>
  <c r="L77" i="242"/>
  <c r="E80" i="242"/>
  <c r="C75" i="242"/>
  <c r="D77" i="242"/>
  <c r="R79" i="242" l="1"/>
  <c r="O80" i="242"/>
  <c r="L78" i="242"/>
  <c r="C76" i="242"/>
  <c r="D78" i="242"/>
  <c r="E81" i="242"/>
  <c r="O81" i="242" l="1"/>
  <c r="R80" i="242"/>
  <c r="L79" i="242"/>
  <c r="E82" i="242"/>
  <c r="C77" i="242"/>
  <c r="D79" i="242"/>
  <c r="O82" i="242" l="1"/>
  <c r="R81" i="242"/>
  <c r="L80" i="242"/>
  <c r="C78" i="242"/>
  <c r="D80" i="242"/>
  <c r="E83" i="242"/>
  <c r="R82" i="242" l="1"/>
  <c r="O83" i="242"/>
  <c r="L81" i="242"/>
  <c r="E84" i="242"/>
  <c r="C79" i="242"/>
  <c r="D81" i="242"/>
  <c r="O84" i="242" l="1"/>
  <c r="R83" i="242"/>
  <c r="L82" i="242"/>
  <c r="C80" i="242"/>
  <c r="D82" i="242"/>
  <c r="E85" i="242"/>
  <c r="R84" i="242" l="1"/>
  <c r="O85" i="242"/>
  <c r="L83" i="242"/>
  <c r="E86" i="242"/>
  <c r="C81" i="242"/>
  <c r="D83" i="242"/>
  <c r="R85" i="242" l="1"/>
  <c r="O86" i="242"/>
  <c r="L84" i="242"/>
  <c r="C82" i="242"/>
  <c r="D84" i="242"/>
  <c r="E87" i="242"/>
  <c r="O87" i="242" l="1"/>
  <c r="R86" i="242"/>
  <c r="L85" i="242"/>
  <c r="C83" i="242"/>
  <c r="D85" i="242"/>
  <c r="E88" i="242"/>
  <c r="O88" i="242" l="1"/>
  <c r="R87" i="242"/>
  <c r="L86" i="242"/>
  <c r="E89" i="242"/>
  <c r="C84" i="242"/>
  <c r="D86" i="242"/>
  <c r="R88" i="242" l="1"/>
  <c r="O89" i="242"/>
  <c r="L87" i="242"/>
  <c r="C85" i="242"/>
  <c r="D87" i="242"/>
  <c r="E90" i="242"/>
  <c r="R89" i="242" l="1"/>
  <c r="O90" i="242"/>
  <c r="L88" i="242"/>
  <c r="E91" i="242"/>
  <c r="C86" i="242"/>
  <c r="D88" i="242"/>
  <c r="O91" i="242" l="1"/>
  <c r="R90" i="242"/>
  <c r="L89" i="242"/>
  <c r="C87" i="242"/>
  <c r="D89" i="242"/>
  <c r="E92" i="242"/>
  <c r="O92" i="242" l="1"/>
  <c r="R91" i="242"/>
  <c r="L90" i="242"/>
  <c r="E93" i="242"/>
  <c r="C88" i="242"/>
  <c r="D90" i="242"/>
  <c r="O93" i="242" l="1"/>
  <c r="R92" i="242"/>
  <c r="L91" i="242"/>
  <c r="C89" i="242"/>
  <c r="D91" i="242"/>
  <c r="E94" i="242"/>
  <c r="O94" i="242" l="1"/>
  <c r="R93" i="242"/>
  <c r="L92" i="242"/>
  <c r="E95" i="242"/>
  <c r="C90" i="242"/>
  <c r="D92" i="242"/>
  <c r="O95" i="242" l="1"/>
  <c r="R94" i="242"/>
  <c r="L93" i="242"/>
  <c r="C91" i="242"/>
  <c r="D93" i="242"/>
  <c r="E96" i="242"/>
  <c r="R95" i="242" l="1"/>
  <c r="O96" i="242"/>
  <c r="L94" i="242"/>
  <c r="E97" i="242"/>
  <c r="C92" i="242"/>
  <c r="D94" i="242"/>
  <c r="R96" i="242" l="1"/>
  <c r="O97" i="242"/>
  <c r="L95" i="242"/>
  <c r="C93" i="242"/>
  <c r="D95" i="242"/>
  <c r="E98" i="242"/>
  <c r="O98" i="242" l="1"/>
  <c r="R97" i="242"/>
  <c r="L96" i="242"/>
  <c r="E99" i="242"/>
  <c r="C94" i="242"/>
  <c r="D96" i="242"/>
  <c r="O99" i="242" l="1"/>
  <c r="R98" i="242"/>
  <c r="L97" i="242"/>
  <c r="C95" i="242"/>
  <c r="D97" i="242"/>
  <c r="E100" i="242"/>
  <c r="O100" i="242" l="1"/>
  <c r="R99" i="242"/>
  <c r="L98" i="242"/>
  <c r="C96" i="242"/>
  <c r="D98" i="242"/>
  <c r="E101" i="242"/>
  <c r="R100" i="242" l="1"/>
  <c r="O101" i="242"/>
  <c r="L99" i="242"/>
  <c r="E102" i="242"/>
  <c r="C97" i="242"/>
  <c r="D99" i="242"/>
  <c r="O102" i="242" l="1"/>
  <c r="R101" i="242"/>
  <c r="L100" i="242"/>
  <c r="C98" i="242"/>
  <c r="D100" i="242"/>
  <c r="E103" i="242"/>
  <c r="O103" i="242" l="1"/>
  <c r="R102" i="242"/>
  <c r="L101" i="242"/>
  <c r="E104" i="242"/>
  <c r="C99" i="242"/>
  <c r="D101" i="242"/>
  <c r="R103" i="242" l="1"/>
  <c r="O104" i="242"/>
  <c r="L102" i="242"/>
  <c r="C100" i="242"/>
  <c r="D102" i="242"/>
  <c r="E105" i="242"/>
  <c r="R104" i="242" l="1"/>
  <c r="O105" i="242"/>
  <c r="L103" i="242"/>
  <c r="E106" i="242"/>
  <c r="C101" i="242"/>
  <c r="D103" i="242"/>
  <c r="O106" i="242" l="1"/>
  <c r="R105" i="242"/>
  <c r="L104" i="242"/>
  <c r="C102" i="242"/>
  <c r="D104" i="242"/>
  <c r="E107" i="242"/>
  <c r="O107" i="242" l="1"/>
  <c r="R106" i="242"/>
  <c r="L105" i="242"/>
  <c r="E108" i="242"/>
  <c r="C103" i="242"/>
  <c r="D105" i="242"/>
  <c r="O108" i="242" l="1"/>
  <c r="R107" i="242"/>
  <c r="L106" i="242"/>
  <c r="C104" i="242"/>
  <c r="D106" i="242"/>
  <c r="E109" i="242"/>
  <c r="O109" i="242" l="1"/>
  <c r="R108" i="242"/>
  <c r="L107" i="242"/>
  <c r="E110" i="242"/>
  <c r="C105" i="242"/>
  <c r="D107" i="242"/>
  <c r="O110" i="242" l="1"/>
  <c r="R109" i="242"/>
  <c r="L108" i="242"/>
  <c r="C106" i="242"/>
  <c r="D108" i="242"/>
  <c r="E111" i="242"/>
  <c r="O111" i="242" l="1"/>
  <c r="R110" i="242"/>
  <c r="L109" i="242"/>
  <c r="E112" i="242"/>
  <c r="C107" i="242"/>
  <c r="D109" i="242"/>
  <c r="O112" i="242" l="1"/>
  <c r="R111" i="242"/>
  <c r="L110" i="242"/>
  <c r="C108" i="242"/>
  <c r="D110" i="242"/>
  <c r="E113" i="242"/>
  <c r="O113" i="242" l="1"/>
  <c r="R112" i="242"/>
  <c r="L111" i="242"/>
  <c r="C109" i="242"/>
  <c r="D111" i="242"/>
  <c r="E114" i="242"/>
  <c r="O114" i="242" l="1"/>
  <c r="R113" i="242"/>
  <c r="L112" i="242"/>
  <c r="E115" i="242"/>
  <c r="C110" i="242"/>
  <c r="D112" i="242"/>
  <c r="O115" i="242" l="1"/>
  <c r="R114" i="242"/>
  <c r="L113" i="242"/>
  <c r="E116" i="242"/>
  <c r="C111" i="242"/>
  <c r="D113" i="242"/>
  <c r="O116" i="242" l="1"/>
  <c r="R115" i="242"/>
  <c r="L114" i="242"/>
  <c r="C112" i="242"/>
  <c r="D114" i="242"/>
  <c r="E117" i="242"/>
  <c r="O117" i="242" l="1"/>
  <c r="R116" i="242"/>
  <c r="L115" i="242"/>
  <c r="E118" i="242"/>
  <c r="C113" i="242"/>
  <c r="D115" i="242"/>
  <c r="O118" i="242" l="1"/>
  <c r="R117" i="242"/>
  <c r="L116" i="242"/>
  <c r="E119" i="242"/>
  <c r="C114" i="242"/>
  <c r="D116" i="242"/>
  <c r="O119" i="242" l="1"/>
  <c r="R118" i="242"/>
  <c r="L117" i="242"/>
  <c r="C115" i="242"/>
  <c r="D117" i="242"/>
  <c r="E120" i="242"/>
  <c r="R119" i="242" l="1"/>
  <c r="O120" i="242"/>
  <c r="L118" i="242"/>
  <c r="E121" i="242"/>
  <c r="C116" i="242"/>
  <c r="D118" i="242"/>
  <c r="O121" i="242" l="1"/>
  <c r="R120" i="242"/>
  <c r="L119" i="242"/>
  <c r="E122" i="242"/>
  <c r="C117" i="242"/>
  <c r="D119" i="242"/>
  <c r="R121" i="242" l="1"/>
  <c r="O122" i="242"/>
  <c r="L120" i="242"/>
  <c r="C118" i="242"/>
  <c r="D120" i="242"/>
  <c r="E123" i="242"/>
  <c r="O123" i="242" l="1"/>
  <c r="R122" i="242"/>
  <c r="L121" i="242"/>
  <c r="E124" i="242"/>
  <c r="C119" i="242"/>
  <c r="D121" i="242"/>
  <c r="R123" i="242" l="1"/>
  <c r="R7" i="242" s="1"/>
  <c r="O124" i="242"/>
  <c r="L122" i="242"/>
  <c r="C120" i="242"/>
  <c r="D122" i="242"/>
  <c r="L123" i="242" l="1"/>
  <c r="C121" i="242"/>
  <c r="D123" i="242"/>
  <c r="L124" i="242" l="1"/>
  <c r="C122" i="242"/>
  <c r="D124" i="242"/>
  <c r="C123" i="242" l="1"/>
  <c r="C124" i="242"/>
  <c r="K16" i="212" l="1"/>
  <c r="K23" i="212" l="1"/>
  <c r="L23" i="212" l="1"/>
  <c r="L16" i="212" l="1"/>
  <c r="F22" i="230" s="1"/>
  <c r="H22" i="230" s="1"/>
  <c r="K22" i="230" s="1"/>
  <c r="M23" i="212" l="1"/>
  <c r="M16" i="212"/>
  <c r="N16" i="212" l="1"/>
  <c r="D12" i="238" l="1"/>
  <c r="AM20" i="237" s="1"/>
  <c r="P23" i="212" s="1"/>
  <c r="D9" i="238"/>
  <c r="D6" i="238"/>
  <c r="J8" i="212" l="1"/>
  <c r="J9" i="212"/>
  <c r="J10" i="212"/>
  <c r="J11" i="212"/>
  <c r="J12" i="212"/>
  <c r="J13" i="212"/>
  <c r="J14" i="212"/>
  <c r="J15" i="212"/>
  <c r="J6" i="212"/>
  <c r="N23" i="212" l="1"/>
  <c r="J23" i="212"/>
  <c r="F21" i="230"/>
  <c r="K15" i="212"/>
  <c r="L14" i="212"/>
  <c r="K14" i="212"/>
  <c r="L11" i="212"/>
  <c r="F17" i="230" s="1"/>
  <c r="K11" i="212"/>
  <c r="L9" i="212"/>
  <c r="F15" i="230" s="1"/>
  <c r="K9" i="212"/>
  <c r="L12" i="212"/>
  <c r="F18" i="230" s="1"/>
  <c r="K12" i="212"/>
  <c r="K6" i="212"/>
  <c r="L10" i="212"/>
  <c r="F16" i="230" s="1"/>
  <c r="K10" i="212"/>
  <c r="L13" i="212"/>
  <c r="K13" i="212"/>
  <c r="L6" i="212"/>
  <c r="M10" i="212" l="1"/>
  <c r="N10" i="212"/>
  <c r="M14" i="212"/>
  <c r="N11" i="212"/>
  <c r="N14" i="212"/>
  <c r="M11" i="212"/>
  <c r="F20" i="230"/>
  <c r="H20" i="230" s="1"/>
  <c r="K20" i="230" s="1"/>
  <c r="F19" i="230"/>
  <c r="H19" i="230" s="1"/>
  <c r="K19" i="230" s="1"/>
  <c r="M6" i="212"/>
  <c r="N15" i="212"/>
  <c r="N6" i="212"/>
  <c r="M15" i="212"/>
  <c r="N12" i="212"/>
  <c r="M12" i="212"/>
  <c r="M9" i="212"/>
  <c r="N9" i="212"/>
  <c r="N13" i="212"/>
  <c r="M13" i="212"/>
  <c r="K24" i="212" l="1"/>
  <c r="H12" i="230" l="1"/>
  <c r="K12" i="230" s="1"/>
  <c r="H15" i="230"/>
  <c r="H18" i="230"/>
  <c r="J12" i="230"/>
  <c r="J14" i="230"/>
  <c r="J15" i="230"/>
  <c r="J16" i="230"/>
  <c r="J17" i="230"/>
  <c r="B35" i="230"/>
  <c r="B36" i="230" s="1"/>
  <c r="M32" i="230"/>
  <c r="L32" i="230"/>
  <c r="I37" i="230"/>
  <c r="J23" i="230"/>
  <c r="L10" i="230"/>
  <c r="N9" i="230"/>
  <c r="O9" i="230" s="1"/>
  <c r="P9" i="230" s="1"/>
  <c r="Q9" i="230" s="1"/>
  <c r="R9" i="230" s="1"/>
  <c r="S9" i="230" s="1"/>
  <c r="T9" i="230" s="1"/>
  <c r="U9" i="230" s="1"/>
  <c r="V9" i="230" s="1"/>
  <c r="W9" i="230" s="1"/>
  <c r="X9" i="230" s="1"/>
  <c r="Y9" i="230" s="1"/>
  <c r="Z9" i="230" s="1"/>
  <c r="AA9" i="230" s="1"/>
  <c r="AB9" i="230" s="1"/>
  <c r="AC9" i="230" s="1"/>
  <c r="AD9" i="230" s="1"/>
  <c r="AE9" i="230" s="1"/>
  <c r="AF9" i="230" s="1"/>
  <c r="AG9" i="230" s="1"/>
  <c r="AH9" i="230" s="1"/>
  <c r="AI9" i="230" s="1"/>
  <c r="AJ9" i="230" s="1"/>
  <c r="AK9" i="230" s="1"/>
  <c r="AL9" i="230" s="1"/>
  <c r="AM9" i="230" s="1"/>
  <c r="AN9" i="230" s="1"/>
  <c r="AO9" i="230" s="1"/>
  <c r="AP9" i="230" s="1"/>
  <c r="AQ9" i="230" s="1"/>
  <c r="AR9" i="230" s="1"/>
  <c r="AS9" i="230" s="1"/>
  <c r="AT9" i="230" s="1"/>
  <c r="AU9" i="230" s="1"/>
  <c r="AV9" i="230" s="1"/>
  <c r="AW9" i="230" s="1"/>
  <c r="AX9" i="230" s="1"/>
  <c r="AY9" i="230" s="1"/>
  <c r="AZ9" i="230" s="1"/>
  <c r="BA9" i="230" s="1"/>
  <c r="BB9" i="230" s="1"/>
  <c r="BC9" i="230" s="1"/>
  <c r="BD9" i="230" s="1"/>
  <c r="BE9" i="230" s="1"/>
  <c r="BF9" i="230" s="1"/>
  <c r="BG9" i="230" s="1"/>
  <c r="BH9" i="230" s="1"/>
  <c r="BI9" i="230" s="1"/>
  <c r="BJ9" i="230" s="1"/>
  <c r="BK9" i="230" s="1"/>
  <c r="BL9" i="230" s="1"/>
  <c r="BM9" i="230" s="1"/>
  <c r="BN9" i="230" s="1"/>
  <c r="BO9" i="230" s="1"/>
  <c r="BP9" i="230" s="1"/>
  <c r="BQ9" i="230" s="1"/>
  <c r="BR9" i="230" s="1"/>
  <c r="BS9" i="230" s="1"/>
  <c r="K10" i="230"/>
  <c r="I33" i="230" l="1"/>
  <c r="L13" i="230"/>
  <c r="J37" i="230"/>
  <c r="L14" i="230"/>
  <c r="L21" i="230"/>
  <c r="L20" i="230"/>
  <c r="L22" i="230"/>
  <c r="L15" i="230"/>
  <c r="L17" i="230"/>
  <c r="L18" i="230"/>
  <c r="L16" i="230"/>
  <c r="L19" i="230"/>
  <c r="E18" i="230"/>
  <c r="K15" i="230"/>
  <c r="E15" i="230"/>
  <c r="E14" i="230"/>
  <c r="E17" i="230"/>
  <c r="L12" i="230"/>
  <c r="M10" i="230"/>
  <c r="M13" i="230" s="1"/>
  <c r="E16" i="230"/>
  <c r="H16" i="230"/>
  <c r="K16" i="230" s="1"/>
  <c r="J18" i="230"/>
  <c r="H17" i="230"/>
  <c r="K17" i="230" s="1"/>
  <c r="H23" i="230"/>
  <c r="J21" i="230"/>
  <c r="H21" i="230"/>
  <c r="B37" i="230"/>
  <c r="F10" i="230"/>
  <c r="G10" i="230"/>
  <c r="H10" i="230"/>
  <c r="M14" i="230" l="1"/>
  <c r="M20" i="230"/>
  <c r="M19" i="230"/>
  <c r="M15" i="230"/>
  <c r="M17" i="230"/>
  <c r="M16" i="230"/>
  <c r="E21" i="230"/>
  <c r="N10" i="230"/>
  <c r="N13" i="230" s="1"/>
  <c r="K21" i="230"/>
  <c r="K18" i="230"/>
  <c r="E23" i="230"/>
  <c r="L23" i="230" s="1"/>
  <c r="B38" i="230"/>
  <c r="F37" i="230" l="1"/>
  <c r="L24" i="230"/>
  <c r="N19" i="230"/>
  <c r="N21" i="230"/>
  <c r="N20" i="230"/>
  <c r="N15" i="230"/>
  <c r="N17" i="230"/>
  <c r="O10" i="230"/>
  <c r="O13" i="230" s="1"/>
  <c r="N11" i="230"/>
  <c r="B39" i="230"/>
  <c r="O19" i="230" l="1"/>
  <c r="O15" i="230"/>
  <c r="O22" i="230"/>
  <c r="O17" i="230"/>
  <c r="O18" i="230"/>
  <c r="O20" i="230"/>
  <c r="P10" i="230"/>
  <c r="P13" i="230" s="1"/>
  <c r="B40" i="230"/>
  <c r="P18" i="230" l="1"/>
  <c r="P19" i="230"/>
  <c r="P15" i="230"/>
  <c r="P17" i="230"/>
  <c r="P22" i="230"/>
  <c r="P20" i="230"/>
  <c r="Q10" i="230"/>
  <c r="B41" i="230"/>
  <c r="R10" i="230" l="1"/>
  <c r="R13" i="230" s="1"/>
  <c r="B42" i="230"/>
  <c r="R22" i="230" l="1"/>
  <c r="R21" i="230"/>
  <c r="R15" i="230"/>
  <c r="R17" i="230"/>
  <c r="R19" i="230"/>
  <c r="R18" i="230"/>
  <c r="R20" i="230"/>
  <c r="R16" i="230"/>
  <c r="M24" i="212"/>
  <c r="S10" i="230"/>
  <c r="S13" i="230" s="1"/>
  <c r="B43" i="230"/>
  <c r="S21" i="230" l="1"/>
  <c r="S19" i="230"/>
  <c r="S20" i="230"/>
  <c r="S18" i="230"/>
  <c r="S22" i="230"/>
  <c r="S15" i="230"/>
  <c r="S17" i="230"/>
  <c r="S16" i="230"/>
  <c r="T10" i="230"/>
  <c r="T13" i="230" s="1"/>
  <c r="S23" i="230"/>
  <c r="B44" i="230"/>
  <c r="T16" i="230" l="1"/>
  <c r="T19" i="230"/>
  <c r="T21" i="230"/>
  <c r="T22" i="230"/>
  <c r="T18" i="230"/>
  <c r="T20" i="230"/>
  <c r="T15" i="230"/>
  <c r="T17" i="230"/>
  <c r="T23" i="230"/>
  <c r="U10" i="230"/>
  <c r="U13" i="230" s="1"/>
  <c r="B45" i="230"/>
  <c r="U16" i="230" l="1"/>
  <c r="U19" i="230"/>
  <c r="U22" i="230"/>
  <c r="U21" i="230"/>
  <c r="U17" i="230"/>
  <c r="U18" i="230"/>
  <c r="U20" i="230"/>
  <c r="U15" i="230"/>
  <c r="V10" i="230"/>
  <c r="V13" i="230" s="1"/>
  <c r="U23" i="230"/>
  <c r="B46" i="230"/>
  <c r="V20" i="230" l="1"/>
  <c r="V22" i="230"/>
  <c r="V18" i="230"/>
  <c r="V14" i="230"/>
  <c r="V16" i="230"/>
  <c r="V19" i="230"/>
  <c r="V21" i="230"/>
  <c r="V15" i="230"/>
  <c r="W10" i="230"/>
  <c r="W13" i="230" s="1"/>
  <c r="V23" i="230"/>
  <c r="B47" i="230"/>
  <c r="W22" i="230" l="1"/>
  <c r="W19" i="230"/>
  <c r="W20" i="230"/>
  <c r="W14" i="230"/>
  <c r="W16" i="230"/>
  <c r="W21" i="230"/>
  <c r="W18" i="230"/>
  <c r="W15" i="230"/>
  <c r="X10" i="230"/>
  <c r="X13" i="230" s="1"/>
  <c r="W23" i="230"/>
  <c r="B48" i="230"/>
  <c r="B34" i="216"/>
  <c r="B35" i="216" s="1"/>
  <c r="L31" i="216"/>
  <c r="L10" i="216"/>
  <c r="N9" i="216"/>
  <c r="O9" i="216" s="1"/>
  <c r="P9" i="216" s="1"/>
  <c r="Q9" i="216" s="1"/>
  <c r="R9" i="216" s="1"/>
  <c r="S9" i="216" s="1"/>
  <c r="T9" i="216" s="1"/>
  <c r="U9" i="216" s="1"/>
  <c r="V9" i="216" s="1"/>
  <c r="W9" i="216" s="1"/>
  <c r="X9" i="216" s="1"/>
  <c r="Y9" i="216" s="1"/>
  <c r="Z9" i="216" s="1"/>
  <c r="AA9" i="216" s="1"/>
  <c r="AB9" i="216" s="1"/>
  <c r="AC9" i="216" s="1"/>
  <c r="AD9" i="216" s="1"/>
  <c r="AE9" i="216" s="1"/>
  <c r="AF9" i="216" s="1"/>
  <c r="AG9" i="216" s="1"/>
  <c r="AH9" i="216" s="1"/>
  <c r="AI9" i="216" s="1"/>
  <c r="AJ9" i="216" s="1"/>
  <c r="AK9" i="216" s="1"/>
  <c r="AL9" i="216" s="1"/>
  <c r="AM9" i="216" s="1"/>
  <c r="AN9" i="216" s="1"/>
  <c r="AO9" i="216" s="1"/>
  <c r="AP9" i="216" s="1"/>
  <c r="AQ9" i="216" s="1"/>
  <c r="AR9" i="216" s="1"/>
  <c r="AS9" i="216" s="1"/>
  <c r="AT9" i="216" s="1"/>
  <c r="AU9" i="216" s="1"/>
  <c r="AV9" i="216" s="1"/>
  <c r="AW9" i="216" s="1"/>
  <c r="AX9" i="216" s="1"/>
  <c r="AY9" i="216" s="1"/>
  <c r="AZ9" i="216" s="1"/>
  <c r="BA9" i="216" s="1"/>
  <c r="BB9" i="216" s="1"/>
  <c r="BC9" i="216" s="1"/>
  <c r="BD9" i="216" s="1"/>
  <c r="BE9" i="216" s="1"/>
  <c r="BF9" i="216" s="1"/>
  <c r="BG9" i="216" s="1"/>
  <c r="BH9" i="216" s="1"/>
  <c r="BI9" i="216" s="1"/>
  <c r="BJ9" i="216" s="1"/>
  <c r="BK9" i="216" s="1"/>
  <c r="BL9" i="216" s="1"/>
  <c r="BM9" i="216" s="1"/>
  <c r="BN9" i="216" s="1"/>
  <c r="BO9" i="216" s="1"/>
  <c r="BP9" i="216" s="1"/>
  <c r="BQ9" i="216" s="1"/>
  <c r="BR9" i="216" s="1"/>
  <c r="BS9" i="216" s="1"/>
  <c r="K10" i="216"/>
  <c r="I32" i="216" l="1"/>
  <c r="L15" i="216"/>
  <c r="D11" i="246" s="1"/>
  <c r="L16" i="216"/>
  <c r="D13" i="246" s="1"/>
  <c r="L14" i="216"/>
  <c r="D9" i="246" s="1"/>
  <c r="I36" i="216"/>
  <c r="I37" i="216" s="1"/>
  <c r="I38" i="216" s="1"/>
  <c r="I39" i="216" s="1"/>
  <c r="I40" i="216" s="1"/>
  <c r="I41" i="216" s="1"/>
  <c r="I42" i="216" s="1"/>
  <c r="M10" i="216"/>
  <c r="L17" i="216"/>
  <c r="D15" i="246" s="1"/>
  <c r="L13" i="216"/>
  <c r="D7" i="246" s="1"/>
  <c r="X20" i="230"/>
  <c r="X22" i="230"/>
  <c r="X19" i="230"/>
  <c r="X14" i="230"/>
  <c r="X16" i="230"/>
  <c r="X21" i="230"/>
  <c r="X18" i="230"/>
  <c r="X15" i="230"/>
  <c r="B36" i="216"/>
  <c r="Y10" i="230"/>
  <c r="Y13" i="230" s="1"/>
  <c r="X23" i="230"/>
  <c r="B49" i="230"/>
  <c r="H10" i="216"/>
  <c r="F10" i="216"/>
  <c r="G10" i="216"/>
  <c r="I43" i="216" l="1"/>
  <c r="I44" i="216" s="1"/>
  <c r="I45" i="216" s="1"/>
  <c r="I46" i="216" s="1"/>
  <c r="I47" i="216" s="1"/>
  <c r="I48" i="216" s="1"/>
  <c r="I49" i="216" s="1"/>
  <c r="I50" i="216" s="1"/>
  <c r="I51" i="216" s="1"/>
  <c r="I52" i="216" s="1"/>
  <c r="I53" i="216" s="1"/>
  <c r="I54" i="216" s="1"/>
  <c r="I55" i="216" s="1"/>
  <c r="I56" i="216" s="1"/>
  <c r="I57" i="216" s="1"/>
  <c r="I58" i="216" s="1"/>
  <c r="I59" i="216" s="1"/>
  <c r="I60" i="216" s="1"/>
  <c r="I61" i="216" s="1"/>
  <c r="J42" i="216"/>
  <c r="D17" i="246"/>
  <c r="D18" i="246" s="1"/>
  <c r="N10" i="216"/>
  <c r="N12" i="216" s="1"/>
  <c r="M15" i="216"/>
  <c r="E11" i="246" s="1"/>
  <c r="M14" i="216"/>
  <c r="E9" i="246" s="1"/>
  <c r="M16" i="216"/>
  <c r="E13" i="246" s="1"/>
  <c r="B37" i="216"/>
  <c r="J36" i="216"/>
  <c r="D4" i="246" s="1"/>
  <c r="M12" i="216"/>
  <c r="M17" i="216"/>
  <c r="E15" i="246" s="1"/>
  <c r="Y15" i="230"/>
  <c r="Y18" i="230"/>
  <c r="Y20" i="230"/>
  <c r="Y22" i="230"/>
  <c r="Y14" i="230"/>
  <c r="Y16" i="230"/>
  <c r="Y21" i="230"/>
  <c r="Y19" i="230"/>
  <c r="Z10" i="230"/>
  <c r="Z13" i="230" s="1"/>
  <c r="Y23" i="230"/>
  <c r="B50" i="230"/>
  <c r="L12" i="216"/>
  <c r="L18" i="216" l="1"/>
  <c r="D5" i="246"/>
  <c r="D20" i="246" s="1"/>
  <c r="N11" i="216"/>
  <c r="O10" i="216"/>
  <c r="O15" i="216" s="1"/>
  <c r="N17" i="216"/>
  <c r="F15" i="246" s="1"/>
  <c r="B38" i="216"/>
  <c r="N15" i="216"/>
  <c r="F11" i="246" s="1"/>
  <c r="N16" i="216"/>
  <c r="F13" i="246" s="1"/>
  <c r="N14" i="216"/>
  <c r="F9" i="246" s="1"/>
  <c r="Z18" i="230"/>
  <c r="Z22" i="230"/>
  <c r="Z16" i="230"/>
  <c r="Z14" i="230"/>
  <c r="Z21" i="230"/>
  <c r="AA10" i="230"/>
  <c r="AA13" i="230" s="1"/>
  <c r="Z23" i="230"/>
  <c r="B51" i="230"/>
  <c r="J37" i="216"/>
  <c r="E4" i="246" s="1"/>
  <c r="B39" i="216"/>
  <c r="O12" i="216" l="1"/>
  <c r="O17" i="216"/>
  <c r="G15" i="246" s="1"/>
  <c r="J38" i="216"/>
  <c r="F4" i="246" s="1"/>
  <c r="O14" i="216"/>
  <c r="G9" i="246" s="1"/>
  <c r="G11" i="246"/>
  <c r="P10" i="216"/>
  <c r="P15" i="216" s="1"/>
  <c r="O16" i="216"/>
  <c r="G13" i="246" s="1"/>
  <c r="E5" i="246"/>
  <c r="AA14" i="230"/>
  <c r="AA18" i="230"/>
  <c r="AA21" i="230"/>
  <c r="AA16" i="230"/>
  <c r="AA22" i="230"/>
  <c r="AA23" i="230"/>
  <c r="AB10" i="230"/>
  <c r="AB13" i="230" s="1"/>
  <c r="B52" i="230"/>
  <c r="B40" i="216"/>
  <c r="P16" i="216" l="1"/>
  <c r="H13" i="246" s="1"/>
  <c r="P17" i="216"/>
  <c r="H15" i="246" s="1"/>
  <c r="F5" i="246"/>
  <c r="H11" i="246"/>
  <c r="Q10" i="216"/>
  <c r="Q17" i="216" s="1"/>
  <c r="I15" i="246" s="1"/>
  <c r="P13" i="216"/>
  <c r="H7" i="246" s="1"/>
  <c r="P12" i="216"/>
  <c r="P14" i="216"/>
  <c r="H9" i="246" s="1"/>
  <c r="AB14" i="230"/>
  <c r="AB16" i="230"/>
  <c r="AB18" i="230"/>
  <c r="AB20" i="230"/>
  <c r="AB22" i="230"/>
  <c r="AB19" i="230"/>
  <c r="AB21" i="230"/>
  <c r="AC10" i="230"/>
  <c r="AC13" i="230" s="1"/>
  <c r="AB23" i="230"/>
  <c r="J39" i="216"/>
  <c r="G4" i="246" s="1"/>
  <c r="B53" i="230"/>
  <c r="B41" i="216"/>
  <c r="Q15" i="216" l="1"/>
  <c r="Q16" i="216"/>
  <c r="I13" i="246" s="1"/>
  <c r="Q14" i="216"/>
  <c r="I9" i="246" s="1"/>
  <c r="P18" i="216"/>
  <c r="H17" i="246"/>
  <c r="R10" i="216"/>
  <c r="R17" i="216" s="1"/>
  <c r="J15" i="246" s="1"/>
  <c r="Q13" i="216"/>
  <c r="I7" i="246" s="1"/>
  <c r="G5" i="246"/>
  <c r="Q12" i="216"/>
  <c r="R15" i="216"/>
  <c r="J11" i="246" s="1"/>
  <c r="R16" i="216"/>
  <c r="J13" i="246" s="1"/>
  <c r="R12" i="216"/>
  <c r="R13" i="216"/>
  <c r="J7" i="246" s="1"/>
  <c r="AC21" i="230"/>
  <c r="AC15" i="230"/>
  <c r="AC22" i="230"/>
  <c r="AC16" i="230"/>
  <c r="AC18" i="230"/>
  <c r="AC20" i="230"/>
  <c r="AC14" i="230"/>
  <c r="AC19" i="230"/>
  <c r="AD10" i="230"/>
  <c r="AD13" i="230" s="1"/>
  <c r="AC23" i="230"/>
  <c r="J40" i="216"/>
  <c r="H4" i="246" s="1"/>
  <c r="B54" i="230"/>
  <c r="S10" i="216"/>
  <c r="B42" i="216"/>
  <c r="R14" i="216" l="1"/>
  <c r="R18" i="216" s="1"/>
  <c r="F42" i="216" s="1"/>
  <c r="Q18" i="216"/>
  <c r="F41" i="216" s="1"/>
  <c r="H5" i="246"/>
  <c r="S15" i="216"/>
  <c r="S14" i="216"/>
  <c r="S16" i="216"/>
  <c r="S12" i="216"/>
  <c r="S13" i="216"/>
  <c r="S17" i="216"/>
  <c r="K15" i="246" s="1"/>
  <c r="AD15" i="230"/>
  <c r="AD22" i="230"/>
  <c r="AD18" i="230"/>
  <c r="AD20" i="230"/>
  <c r="AD19" i="230"/>
  <c r="AD21" i="230"/>
  <c r="AD14" i="230"/>
  <c r="AD16" i="230"/>
  <c r="J41" i="216"/>
  <c r="I4" i="246" s="1"/>
  <c r="AE10" i="230"/>
  <c r="AE13" i="230" s="1"/>
  <c r="AD23" i="230"/>
  <c r="B55" i="230"/>
  <c r="B43" i="216"/>
  <c r="T10" i="216"/>
  <c r="I5" i="246" l="1"/>
  <c r="T16" i="216"/>
  <c r="T15" i="216"/>
  <c r="T14" i="216"/>
  <c r="S18" i="216"/>
  <c r="F43" i="216" s="1"/>
  <c r="T12" i="216"/>
  <c r="T17" i="216"/>
  <c r="T13" i="216"/>
  <c r="L7" i="246" s="1"/>
  <c r="AE21" i="230"/>
  <c r="AE15" i="230"/>
  <c r="AE20" i="230"/>
  <c r="AE22" i="230"/>
  <c r="AE18" i="230"/>
  <c r="AE19" i="230"/>
  <c r="AE14" i="230"/>
  <c r="AE16" i="230"/>
  <c r="AE23" i="230"/>
  <c r="AF10" i="230"/>
  <c r="AF13" i="230" s="1"/>
  <c r="B56" i="230"/>
  <c r="U10" i="216"/>
  <c r="B44" i="216"/>
  <c r="U16" i="216" l="1"/>
  <c r="U15" i="216"/>
  <c r="T18" i="216"/>
  <c r="F44" i="216" s="1"/>
  <c r="U17" i="216"/>
  <c r="U12" i="216"/>
  <c r="U13" i="216"/>
  <c r="AF21" i="230"/>
  <c r="AF20" i="230"/>
  <c r="AF22" i="230"/>
  <c r="AF15" i="230"/>
  <c r="AF18" i="230"/>
  <c r="AF14" i="230"/>
  <c r="AF16" i="230"/>
  <c r="AF17" i="230"/>
  <c r="AF19" i="230"/>
  <c r="J43" i="216"/>
  <c r="K4" i="246" s="1"/>
  <c r="P24" i="212"/>
  <c r="AF12" i="230"/>
  <c r="AF23" i="230"/>
  <c r="AG10" i="230"/>
  <c r="AG13" i="230" s="1"/>
  <c r="B57" i="230"/>
  <c r="B45" i="216"/>
  <c r="V10" i="216"/>
  <c r="V16" i="216" l="1"/>
  <c r="V15" i="216"/>
  <c r="V17" i="216"/>
  <c r="V13" i="216"/>
  <c r="J44" i="216"/>
  <c r="AG19" i="230"/>
  <c r="AG20" i="230"/>
  <c r="AG22" i="230"/>
  <c r="AG21" i="230"/>
  <c r="AG18" i="230"/>
  <c r="AG15" i="230"/>
  <c r="AG14" i="230"/>
  <c r="AG16" i="230"/>
  <c r="AG17" i="230"/>
  <c r="AG12" i="230"/>
  <c r="AH10" i="230"/>
  <c r="AH13" i="230" s="1"/>
  <c r="AG23" i="230"/>
  <c r="B58" i="230"/>
  <c r="F18" i="216"/>
  <c r="W10" i="216"/>
  <c r="B46" i="216"/>
  <c r="J45" i="216" l="1"/>
  <c r="W15" i="216"/>
  <c r="W14" i="216"/>
  <c r="W16" i="216"/>
  <c r="W13" i="216"/>
  <c r="W17" i="216"/>
  <c r="AH19" i="230"/>
  <c r="AH15" i="230"/>
  <c r="AH18" i="230"/>
  <c r="AH21" i="230"/>
  <c r="AH22" i="230"/>
  <c r="AH20" i="230"/>
  <c r="AH14" i="230"/>
  <c r="AH16" i="230"/>
  <c r="AH17" i="230"/>
  <c r="AH12" i="230"/>
  <c r="AI10" i="230"/>
  <c r="AI13" i="230" s="1"/>
  <c r="AH23" i="230"/>
  <c r="B59" i="230"/>
  <c r="K18" i="216"/>
  <c r="B47" i="216"/>
  <c r="X10" i="216"/>
  <c r="J46" i="216" l="1"/>
  <c r="X16" i="216"/>
  <c r="X14" i="216"/>
  <c r="X15" i="216"/>
  <c r="X17" i="216"/>
  <c r="X13" i="216"/>
  <c r="AI17" i="230"/>
  <c r="AI22" i="230"/>
  <c r="AI19" i="230"/>
  <c r="AI21" i="230"/>
  <c r="AI15" i="230"/>
  <c r="AI18" i="230"/>
  <c r="AI20" i="230"/>
  <c r="AI14" i="230"/>
  <c r="AI16" i="230"/>
  <c r="AH24" i="230"/>
  <c r="F59" i="230" s="1"/>
  <c r="AI12" i="230"/>
  <c r="AI23" i="230"/>
  <c r="AJ10" i="230"/>
  <c r="AJ13" i="230" s="1"/>
  <c r="B60" i="230"/>
  <c r="Y10" i="216"/>
  <c r="B48" i="216"/>
  <c r="J47" i="216" l="1"/>
  <c r="Y16" i="216"/>
  <c r="Y15" i="216"/>
  <c r="Y14" i="216"/>
  <c r="Y13" i="216"/>
  <c r="Y17" i="216"/>
  <c r="AJ14" i="230"/>
  <c r="AJ16" i="230"/>
  <c r="AJ17" i="230"/>
  <c r="AJ15" i="230"/>
  <c r="AJ19" i="230"/>
  <c r="AJ22" i="230"/>
  <c r="AJ21" i="230"/>
  <c r="AJ20" i="230"/>
  <c r="AJ18" i="230"/>
  <c r="M6" i="230"/>
  <c r="M21" i="230" s="1"/>
  <c r="AJ12" i="230"/>
  <c r="AK10" i="230"/>
  <c r="AK13" i="230" s="1"/>
  <c r="AJ23" i="230"/>
  <c r="AI24" i="230"/>
  <c r="F60" i="230" s="1"/>
  <c r="B61" i="230"/>
  <c r="B49" i="216"/>
  <c r="Z10" i="216"/>
  <c r="J48" i="216" l="1"/>
  <c r="Z15" i="216"/>
  <c r="Z14" i="216"/>
  <c r="Z16" i="216"/>
  <c r="Z13" i="216"/>
  <c r="Z17" i="216"/>
  <c r="M22" i="230"/>
  <c r="M18" i="230"/>
  <c r="AK14" i="230"/>
  <c r="AK16" i="230"/>
  <c r="AK17" i="230"/>
  <c r="AK19" i="230"/>
  <c r="AK15" i="230"/>
  <c r="AK20" i="230"/>
  <c r="AK22" i="230"/>
  <c r="AK21" i="230"/>
  <c r="AK18" i="230"/>
  <c r="M23" i="230"/>
  <c r="M12" i="230"/>
  <c r="N6" i="230"/>
  <c r="AK12" i="230"/>
  <c r="AK23" i="230"/>
  <c r="AL10" i="230"/>
  <c r="AL13" i="230" s="1"/>
  <c r="AJ24" i="230"/>
  <c r="F61" i="230" s="1"/>
  <c r="B62" i="230"/>
  <c r="I38" i="230" s="1"/>
  <c r="M6" i="216"/>
  <c r="M13" i="216" s="1"/>
  <c r="AA10" i="216"/>
  <c r="B50" i="216"/>
  <c r="I39" i="230" l="1"/>
  <c r="J38" i="230"/>
  <c r="J49" i="216"/>
  <c r="M18" i="216"/>
  <c r="E7" i="246"/>
  <c r="AA15" i="216"/>
  <c r="AA14" i="216"/>
  <c r="AA16" i="216"/>
  <c r="AA13" i="216"/>
  <c r="AA17" i="216"/>
  <c r="AL22" i="230"/>
  <c r="AL20" i="230"/>
  <c r="AL14" i="230"/>
  <c r="AL16" i="230"/>
  <c r="AL17" i="230"/>
  <c r="AL18" i="230"/>
  <c r="AL21" i="230"/>
  <c r="AL19" i="230"/>
  <c r="AL15" i="230"/>
  <c r="N22" i="230"/>
  <c r="N16" i="230"/>
  <c r="N18" i="230"/>
  <c r="M24" i="230"/>
  <c r="F38" i="230" s="1"/>
  <c r="N23" i="230"/>
  <c r="N12" i="230"/>
  <c r="N6" i="216"/>
  <c r="N13" i="216" s="1"/>
  <c r="O6" i="230"/>
  <c r="AK24" i="230"/>
  <c r="F62" i="230" s="1"/>
  <c r="AL12" i="230"/>
  <c r="AL23" i="230"/>
  <c r="AM10" i="230"/>
  <c r="B63" i="230"/>
  <c r="I63" i="230" s="1"/>
  <c r="B51" i="216"/>
  <c r="AB10" i="216"/>
  <c r="I40" i="230" l="1"/>
  <c r="J39" i="230"/>
  <c r="E17" i="246"/>
  <c r="E18" i="246" s="1"/>
  <c r="J50" i="216"/>
  <c r="N18" i="216"/>
  <c r="F38" i="216" s="1"/>
  <c r="F7" i="246"/>
  <c r="F17" i="246" s="1"/>
  <c r="AB14" i="216"/>
  <c r="AB16" i="216"/>
  <c r="O6" i="216"/>
  <c r="P6" i="216" s="1"/>
  <c r="Q6" i="216" s="1"/>
  <c r="R6" i="216" s="1"/>
  <c r="S6" i="216" s="1"/>
  <c r="T6" i="216" s="1"/>
  <c r="U6" i="216" s="1"/>
  <c r="U14" i="216" s="1"/>
  <c r="U18" i="216" s="1"/>
  <c r="F45" i="216" s="1"/>
  <c r="AB13" i="216"/>
  <c r="AB17" i="216"/>
  <c r="O13" i="216"/>
  <c r="O21" i="230"/>
  <c r="O16" i="230"/>
  <c r="AM18" i="230"/>
  <c r="AM22" i="230"/>
  <c r="AM14" i="230"/>
  <c r="AM16" i="230"/>
  <c r="AM17" i="230"/>
  <c r="AM21" i="230"/>
  <c r="AM19" i="230"/>
  <c r="AM15" i="230"/>
  <c r="AM20" i="230"/>
  <c r="F37" i="216"/>
  <c r="F36" i="216"/>
  <c r="O23" i="230"/>
  <c r="O12" i="230"/>
  <c r="P6" i="230"/>
  <c r="AL24" i="230"/>
  <c r="F63" i="230" s="1"/>
  <c r="AM12" i="230"/>
  <c r="AN10" i="230"/>
  <c r="AM23" i="230"/>
  <c r="B64" i="230"/>
  <c r="I64" i="230" s="1"/>
  <c r="F40" i="216"/>
  <c r="AC10" i="216"/>
  <c r="B52" i="216"/>
  <c r="E8" i="246" l="1" a="1"/>
  <c r="E8" i="246" s="1"/>
  <c r="I41" i="230"/>
  <c r="J40" i="230"/>
  <c r="F18" i="246"/>
  <c r="E20" i="246"/>
  <c r="J51" i="216"/>
  <c r="O18" i="216"/>
  <c r="F39" i="216" s="1"/>
  <c r="G7" i="246"/>
  <c r="G8" i="246" s="1" a="1"/>
  <c r="G8" i="246" s="1"/>
  <c r="AC16" i="216"/>
  <c r="AC14" i="216"/>
  <c r="V6" i="216"/>
  <c r="AC13" i="216"/>
  <c r="AC17" i="216"/>
  <c r="K36" i="216"/>
  <c r="P16" i="230"/>
  <c r="P21" i="230"/>
  <c r="AN20" i="230"/>
  <c r="AN22" i="230"/>
  <c r="AN18" i="230"/>
  <c r="AN14" i="230"/>
  <c r="AN16" i="230"/>
  <c r="AN17" i="230"/>
  <c r="AN19" i="230"/>
  <c r="AN21" i="230"/>
  <c r="AN15" i="230"/>
  <c r="P23" i="230"/>
  <c r="K37" i="230"/>
  <c r="P12" i="230"/>
  <c r="Q6" i="230"/>
  <c r="R6" i="230" s="1"/>
  <c r="AM24" i="230"/>
  <c r="F64" i="230" s="1"/>
  <c r="AN12" i="230"/>
  <c r="AN23" i="230"/>
  <c r="AO10" i="230"/>
  <c r="B65" i="230"/>
  <c r="I65" i="230" s="1"/>
  <c r="AD10" i="216"/>
  <c r="B53" i="216"/>
  <c r="F8" i="246" l="1" a="1"/>
  <c r="F8" i="246" s="1"/>
  <c r="I42" i="230"/>
  <c r="J41" i="230"/>
  <c r="G17" i="246"/>
  <c r="G18" i="246" s="1"/>
  <c r="H8" i="246" a="1"/>
  <c r="H8" i="246" s="1"/>
  <c r="F20" i="246"/>
  <c r="J52" i="216"/>
  <c r="AD15" i="216"/>
  <c r="AD16" i="216"/>
  <c r="AD14" i="216"/>
  <c r="W6" i="216"/>
  <c r="X6" i="216" s="1"/>
  <c r="X12" i="216" s="1"/>
  <c r="V14" i="216"/>
  <c r="W12" i="216"/>
  <c r="W18" i="216" s="1"/>
  <c r="AD13" i="216"/>
  <c r="AD17" i="216"/>
  <c r="V12" i="216"/>
  <c r="AO20" i="230"/>
  <c r="AO22" i="230"/>
  <c r="AO21" i="230"/>
  <c r="AO14" i="230"/>
  <c r="AO16" i="230"/>
  <c r="AO19" i="230"/>
  <c r="AO17" i="230"/>
  <c r="AO18" i="230"/>
  <c r="AO15" i="230"/>
  <c r="L37" i="230"/>
  <c r="M37" i="230"/>
  <c r="Q24" i="230"/>
  <c r="F42" i="230" s="1"/>
  <c r="S6" i="230"/>
  <c r="R23" i="230"/>
  <c r="R12" i="230"/>
  <c r="AN24" i="230"/>
  <c r="F65" i="230" s="1"/>
  <c r="AO12" i="230"/>
  <c r="AO23" i="230"/>
  <c r="AP10" i="230"/>
  <c r="B66" i="230"/>
  <c r="I66" i="230" s="1"/>
  <c r="J65" i="230"/>
  <c r="B54" i="216"/>
  <c r="AE10" i="216"/>
  <c r="I43" i="230" l="1"/>
  <c r="J42" i="230"/>
  <c r="H18" i="246"/>
  <c r="G20" i="246"/>
  <c r="J53" i="216"/>
  <c r="X18" i="216"/>
  <c r="F48" i="216" s="1"/>
  <c r="V18" i="216"/>
  <c r="F46" i="216" s="1"/>
  <c r="AE15" i="216"/>
  <c r="AE14" i="216"/>
  <c r="AE16" i="216"/>
  <c r="Y6" i="216"/>
  <c r="Y12" i="216" s="1"/>
  <c r="Y18" i="216" s="1"/>
  <c r="F49" i="216" s="1"/>
  <c r="AE13" i="216"/>
  <c r="AE17" i="216"/>
  <c r="AP18" i="230"/>
  <c r="AP22" i="230"/>
  <c r="AP20" i="230"/>
  <c r="AP14" i="230"/>
  <c r="AP17" i="230"/>
  <c r="AP19" i="230"/>
  <c r="AP16" i="230"/>
  <c r="AP21" i="230"/>
  <c r="AP15" i="230"/>
  <c r="N37" i="230"/>
  <c r="C38" i="230" s="1"/>
  <c r="F47" i="216"/>
  <c r="T6" i="230"/>
  <c r="S12" i="230"/>
  <c r="AP12" i="230"/>
  <c r="AP23" i="230"/>
  <c r="AQ10" i="230"/>
  <c r="AO24" i="230"/>
  <c r="F66" i="230" s="1"/>
  <c r="J66" i="230"/>
  <c r="B67" i="230"/>
  <c r="I67" i="230" s="1"/>
  <c r="AF10" i="216"/>
  <c r="B55" i="216"/>
  <c r="K38" i="230" l="1"/>
  <c r="I44" i="230"/>
  <c r="J43" i="230"/>
  <c r="H20" i="246"/>
  <c r="J54" i="216"/>
  <c r="AF15" i="216"/>
  <c r="AF14" i="216"/>
  <c r="AF16" i="216"/>
  <c r="Z6" i="216"/>
  <c r="Z12" i="216" s="1"/>
  <c r="Z18" i="216" s="1"/>
  <c r="F50" i="216" s="1"/>
  <c r="AF12" i="216"/>
  <c r="AF13" i="216"/>
  <c r="AF17" i="216"/>
  <c r="AQ22" i="230"/>
  <c r="AQ18" i="230"/>
  <c r="AQ21" i="230"/>
  <c r="AQ16" i="230"/>
  <c r="AQ20" i="230"/>
  <c r="AQ14" i="230"/>
  <c r="AQ17" i="230"/>
  <c r="AQ19" i="230"/>
  <c r="AQ15" i="230"/>
  <c r="U6" i="230"/>
  <c r="T12" i="230"/>
  <c r="AQ12" i="230"/>
  <c r="AQ23" i="230"/>
  <c r="AR10" i="230"/>
  <c r="AP24" i="230"/>
  <c r="F67" i="230" s="1"/>
  <c r="J67" i="230"/>
  <c r="B68" i="230"/>
  <c r="I68" i="230" s="1"/>
  <c r="B56" i="216"/>
  <c r="J55" i="216"/>
  <c r="AG10" i="216"/>
  <c r="M38" i="230" l="1"/>
  <c r="L38" i="230"/>
  <c r="I45" i="230"/>
  <c r="J44" i="230"/>
  <c r="AA6" i="216"/>
  <c r="AA12" i="216" s="1"/>
  <c r="AA18" i="216" s="1"/>
  <c r="F51" i="216" s="1"/>
  <c r="AG14" i="216"/>
  <c r="AG15" i="216"/>
  <c r="AF18" i="216"/>
  <c r="AB12" i="216"/>
  <c r="AG12" i="216"/>
  <c r="AG13" i="216"/>
  <c r="AR15" i="230"/>
  <c r="AR18" i="230"/>
  <c r="AR16" i="230"/>
  <c r="AR20" i="230"/>
  <c r="AR17" i="230"/>
  <c r="AR22" i="230"/>
  <c r="AR14" i="230"/>
  <c r="AR21" i="230"/>
  <c r="AR19" i="230"/>
  <c r="V6" i="230"/>
  <c r="V17" i="230" s="1"/>
  <c r="U12" i="230"/>
  <c r="AR12" i="230"/>
  <c r="AS10" i="230"/>
  <c r="AR23" i="230"/>
  <c r="AQ24" i="230"/>
  <c r="F68" i="230" s="1"/>
  <c r="B69" i="230"/>
  <c r="I69" i="230" s="1"/>
  <c r="J68" i="230"/>
  <c r="B57" i="216"/>
  <c r="J56" i="216"/>
  <c r="AH10" i="216"/>
  <c r="N38" i="230" l="1"/>
  <c r="C39" i="230" s="1"/>
  <c r="I46" i="230"/>
  <c r="J45" i="230"/>
  <c r="AB6" i="216"/>
  <c r="AB15" i="216" s="1"/>
  <c r="AB18" i="216" s="1"/>
  <c r="F52" i="216" s="1"/>
  <c r="AH15" i="216"/>
  <c r="AH14" i="216"/>
  <c r="AH12" i="216"/>
  <c r="AH13" i="216"/>
  <c r="AC12" i="216"/>
  <c r="AS16" i="230"/>
  <c r="AS19" i="230"/>
  <c r="AS15" i="230"/>
  <c r="AS22" i="230"/>
  <c r="AS21" i="230"/>
  <c r="AS18" i="230"/>
  <c r="AS14" i="230"/>
  <c r="AS20" i="230"/>
  <c r="AS17" i="230"/>
  <c r="W6" i="230"/>
  <c r="W17" i="230" s="1"/>
  <c r="V12" i="230"/>
  <c r="AS12" i="230"/>
  <c r="AT10" i="230"/>
  <c r="AS23" i="230"/>
  <c r="AR24" i="230"/>
  <c r="F69" i="230" s="1"/>
  <c r="J69" i="230"/>
  <c r="B70" i="230"/>
  <c r="I70" i="230" s="1"/>
  <c r="B58" i="216"/>
  <c r="J57" i="216"/>
  <c r="AI10" i="216"/>
  <c r="I47" i="230" l="1"/>
  <c r="J46" i="230"/>
  <c r="AC6" i="216"/>
  <c r="AC15" i="216" s="1"/>
  <c r="AC18" i="216" s="1"/>
  <c r="F53" i="216" s="1"/>
  <c r="AD6" i="216"/>
  <c r="AD12" i="216" s="1"/>
  <c r="AD18" i="216" s="1"/>
  <c r="AI15" i="216"/>
  <c r="AI14" i="216"/>
  <c r="AI16" i="216"/>
  <c r="AI12" i="216"/>
  <c r="AI13" i="216"/>
  <c r="AT20" i="230"/>
  <c r="AT22" i="230"/>
  <c r="AT21" i="230"/>
  <c r="AT15" i="230"/>
  <c r="AT19" i="230"/>
  <c r="AT18" i="230"/>
  <c r="AT14" i="230"/>
  <c r="AT16" i="230"/>
  <c r="AT17" i="230"/>
  <c r="V24" i="230"/>
  <c r="F47" i="230" s="1"/>
  <c r="X6" i="230"/>
  <c r="X17" i="230" s="1"/>
  <c r="W12" i="230"/>
  <c r="W24" i="230" s="1"/>
  <c r="F48" i="230" s="1"/>
  <c r="AS24" i="230"/>
  <c r="F70" i="230" s="1"/>
  <c r="AT12" i="230"/>
  <c r="AU10" i="230"/>
  <c r="AT23" i="230"/>
  <c r="J70" i="230"/>
  <c r="B71" i="230"/>
  <c r="I71" i="230" s="1"/>
  <c r="AJ10" i="216"/>
  <c r="B59" i="216"/>
  <c r="J58" i="216"/>
  <c r="I48" i="230" l="1"/>
  <c r="J47" i="230"/>
  <c r="AE6" i="216"/>
  <c r="AE12" i="216" s="1"/>
  <c r="AE18" i="216" s="1"/>
  <c r="AJ14" i="216"/>
  <c r="AJ15" i="216"/>
  <c r="AJ16" i="216"/>
  <c r="AJ12" i="216"/>
  <c r="AJ13" i="216"/>
  <c r="AU21" i="230"/>
  <c r="AU17" i="230"/>
  <c r="AU15" i="230"/>
  <c r="AU18" i="230"/>
  <c r="AU20" i="230"/>
  <c r="AU22" i="230"/>
  <c r="AU14" i="230"/>
  <c r="AU16" i="230"/>
  <c r="AU19" i="230"/>
  <c r="X12" i="230"/>
  <c r="X24" i="230" s="1"/>
  <c r="F49" i="230" s="1"/>
  <c r="Y6" i="230"/>
  <c r="Y17" i="230" s="1"/>
  <c r="AT24" i="230"/>
  <c r="F71" i="230" s="1"/>
  <c r="AU12" i="230"/>
  <c r="AV10" i="230"/>
  <c r="AU23" i="230"/>
  <c r="J71" i="230"/>
  <c r="F54" i="216"/>
  <c r="AK10" i="216"/>
  <c r="B60" i="216"/>
  <c r="J59" i="216"/>
  <c r="I49" i="230" l="1"/>
  <c r="J48" i="230"/>
  <c r="AF6" i="216"/>
  <c r="AG6" i="216" s="1"/>
  <c r="AK14" i="216"/>
  <c r="AK15" i="216"/>
  <c r="AK16" i="216"/>
  <c r="AK12" i="216"/>
  <c r="AK13" i="216"/>
  <c r="AV21" i="230"/>
  <c r="AV22" i="230"/>
  <c r="AV20" i="230"/>
  <c r="AV15" i="230"/>
  <c r="AV16" i="230"/>
  <c r="AV19" i="230"/>
  <c r="AV18" i="230"/>
  <c r="AV14" i="230"/>
  <c r="AV17" i="230"/>
  <c r="Y12" i="230"/>
  <c r="Y24" i="230" s="1"/>
  <c r="F50" i="230" s="1"/>
  <c r="Z6" i="230"/>
  <c r="AU24" i="230"/>
  <c r="AV12" i="230"/>
  <c r="AW10" i="230"/>
  <c r="AV23" i="230"/>
  <c r="F55" i="216"/>
  <c r="AL10" i="216"/>
  <c r="J60" i="216"/>
  <c r="B61" i="216"/>
  <c r="I50" i="230" l="1"/>
  <c r="J49" i="230"/>
  <c r="AL14" i="216"/>
  <c r="AL15" i="216"/>
  <c r="AL16" i="216"/>
  <c r="AG17" i="216"/>
  <c r="AG16" i="216"/>
  <c r="AL12" i="216"/>
  <c r="AL13" i="216"/>
  <c r="AL17" i="216"/>
  <c r="Z15" i="230"/>
  <c r="Z20" i="230"/>
  <c r="Z19" i="230"/>
  <c r="Z17" i="230"/>
  <c r="AW19" i="230"/>
  <c r="AW21" i="230"/>
  <c r="AW18" i="230"/>
  <c r="AW22" i="230"/>
  <c r="AW15" i="230"/>
  <c r="AW17" i="230"/>
  <c r="AW20" i="230"/>
  <c r="AW14" i="230"/>
  <c r="AW16" i="230"/>
  <c r="Z12" i="230"/>
  <c r="AA6" i="230"/>
  <c r="AW12" i="230"/>
  <c r="AX10" i="230"/>
  <c r="AW23" i="230"/>
  <c r="AV24" i="230"/>
  <c r="AH6" i="216"/>
  <c r="AH16" i="216" s="1"/>
  <c r="F56" i="216"/>
  <c r="J61" i="216"/>
  <c r="B62" i="216"/>
  <c r="AM10" i="216"/>
  <c r="I51" i="230" l="1"/>
  <c r="J50" i="230"/>
  <c r="K11" i="246"/>
  <c r="Z7" i="246"/>
  <c r="U13" i="246"/>
  <c r="Q11" i="246"/>
  <c r="W11" i="246"/>
  <c r="I11" i="246"/>
  <c r="I17" i="246" s="1"/>
  <c r="I18" i="246" s="1"/>
  <c r="AA7" i="246"/>
  <c r="M11" i="246"/>
  <c r="Y9" i="246"/>
  <c r="T15" i="246"/>
  <c r="K7" i="246"/>
  <c r="Q7" i="246"/>
  <c r="R9" i="246"/>
  <c r="P7" i="246"/>
  <c r="AA9" i="246"/>
  <c r="M13" i="246"/>
  <c r="O9" i="246"/>
  <c r="S13" i="246"/>
  <c r="T7" i="246"/>
  <c r="X15" i="246"/>
  <c r="Y15" i="246"/>
  <c r="Z11" i="246"/>
  <c r="N15" i="246"/>
  <c r="N11" i="246"/>
  <c r="AA13" i="246"/>
  <c r="O13" i="246"/>
  <c r="AB13" i="246"/>
  <c r="N13" i="246"/>
  <c r="Z9" i="246"/>
  <c r="U9" i="246"/>
  <c r="T13" i="246"/>
  <c r="Y11" i="246"/>
  <c r="AC13" i="246"/>
  <c r="S15" i="246"/>
  <c r="AD13" i="246"/>
  <c r="Y13" i="246"/>
  <c r="Z13" i="246"/>
  <c r="L11" i="246"/>
  <c r="X9" i="246"/>
  <c r="U15" i="246"/>
  <c r="V7" i="246"/>
  <c r="X13" i="246"/>
  <c r="T9" i="246"/>
  <c r="P9" i="246"/>
  <c r="X7" i="246"/>
  <c r="U7" i="246"/>
  <c r="W13" i="246"/>
  <c r="V11" i="246"/>
  <c r="Q13" i="246"/>
  <c r="O7" i="246"/>
  <c r="T11" i="246"/>
  <c r="AD7" i="246"/>
  <c r="W7" i="246"/>
  <c r="U11" i="246"/>
  <c r="S11" i="246"/>
  <c r="V15" i="246"/>
  <c r="N9" i="246"/>
  <c r="M7" i="246"/>
  <c r="R15" i="246"/>
  <c r="M9" i="246"/>
  <c r="M15" i="246"/>
  <c r="O15" i="246"/>
  <c r="L13" i="246"/>
  <c r="L9" i="246"/>
  <c r="AD15" i="246"/>
  <c r="V9" i="246"/>
  <c r="Y7" i="246"/>
  <c r="Q9" i="246"/>
  <c r="Q15" i="246"/>
  <c r="N7" i="246"/>
  <c r="W15" i="246"/>
  <c r="AB7" i="246"/>
  <c r="X11" i="246"/>
  <c r="AD9" i="246"/>
  <c r="AB9" i="246"/>
  <c r="O11" i="246"/>
  <c r="W9" i="246"/>
  <c r="P15" i="246"/>
  <c r="AB11" i="246"/>
  <c r="AC9" i="246"/>
  <c r="AC7" i="246"/>
  <c r="AA11" i="246"/>
  <c r="P13" i="246"/>
  <c r="AC11" i="246"/>
  <c r="P11" i="246"/>
  <c r="R7" i="246"/>
  <c r="S9" i="246"/>
  <c r="S7" i="246"/>
  <c r="AD11" i="246"/>
  <c r="V13" i="246"/>
  <c r="R13" i="246"/>
  <c r="R11" i="246"/>
  <c r="AM15" i="216"/>
  <c r="AE11" i="246" s="1"/>
  <c r="AM14" i="216"/>
  <c r="AE9" i="246" s="1"/>
  <c r="AM16" i="216"/>
  <c r="AE13" i="246" s="1"/>
  <c r="AG18" i="216"/>
  <c r="F57" i="216" s="1"/>
  <c r="AL18" i="216"/>
  <c r="F62" i="216" s="1"/>
  <c r="AI6" i="216"/>
  <c r="AH17" i="216"/>
  <c r="AH18" i="216" s="1"/>
  <c r="F58" i="216" s="1"/>
  <c r="AM17" i="216"/>
  <c r="AE15" i="246" s="1"/>
  <c r="AM13" i="216"/>
  <c r="AE7" i="246" s="1"/>
  <c r="AM12" i="216"/>
  <c r="AX15" i="230"/>
  <c r="AX19" i="230"/>
  <c r="AX21" i="230"/>
  <c r="AX22" i="230"/>
  <c r="AX18" i="230"/>
  <c r="AX17" i="230"/>
  <c r="AX20" i="230"/>
  <c r="AX14" i="230"/>
  <c r="AX16" i="230"/>
  <c r="AA15" i="230"/>
  <c r="AA19" i="230"/>
  <c r="AA20" i="230"/>
  <c r="AA17" i="230"/>
  <c r="AA12" i="230"/>
  <c r="Z24" i="230"/>
  <c r="F51" i="230" s="1"/>
  <c r="AB6" i="230"/>
  <c r="AX12" i="230"/>
  <c r="AY10" i="230"/>
  <c r="AX23" i="230"/>
  <c r="AW24" i="230"/>
  <c r="AN10" i="216"/>
  <c r="B63" i="216"/>
  <c r="J62" i="216"/>
  <c r="AE17" i="246" l="1"/>
  <c r="I52" i="230"/>
  <c r="J51" i="230"/>
  <c r="I20" i="246"/>
  <c r="Q17" i="246"/>
  <c r="T17" i="246"/>
  <c r="P17" i="246"/>
  <c r="M17" i="246"/>
  <c r="AD17" i="246"/>
  <c r="X17" i="246"/>
  <c r="W17" i="246"/>
  <c r="O17" i="246"/>
  <c r="N17" i="246"/>
  <c r="S17" i="246"/>
  <c r="Y17" i="246"/>
  <c r="R17" i="246"/>
  <c r="U17" i="246"/>
  <c r="V17" i="246"/>
  <c r="J9" i="246"/>
  <c r="J17" i="246" s="1"/>
  <c r="J18" i="246" s="1"/>
  <c r="K9" i="246"/>
  <c r="K13" i="246"/>
  <c r="L15" i="246"/>
  <c r="L17" i="246" s="1"/>
  <c r="Z15" i="246"/>
  <c r="Z17" i="246" s="1"/>
  <c r="AJ6" i="216"/>
  <c r="AI17" i="216"/>
  <c r="AN16" i="216"/>
  <c r="AN15" i="216"/>
  <c r="AN14" i="216"/>
  <c r="AM18" i="216"/>
  <c r="F63" i="216" s="1"/>
  <c r="AN17" i="216"/>
  <c r="AN13" i="216"/>
  <c r="AN12" i="216"/>
  <c r="AY17" i="230"/>
  <c r="AY21" i="230"/>
  <c r="AY18" i="230"/>
  <c r="AY22" i="230"/>
  <c r="AY19" i="230"/>
  <c r="AY15" i="230"/>
  <c r="AY20" i="230"/>
  <c r="AY14" i="230"/>
  <c r="AY16" i="230"/>
  <c r="AB15" i="230"/>
  <c r="AB17" i="230"/>
  <c r="AB12" i="230"/>
  <c r="AA24" i="230"/>
  <c r="F52" i="230" s="1"/>
  <c r="AC6" i="230"/>
  <c r="AY12" i="230"/>
  <c r="AY23" i="230"/>
  <c r="AZ10" i="230"/>
  <c r="AX24" i="230"/>
  <c r="AO10" i="216"/>
  <c r="J63" i="216"/>
  <c r="AE4" i="246" s="1"/>
  <c r="B64" i="216"/>
  <c r="I53" i="230" l="1"/>
  <c r="J52" i="230"/>
  <c r="K17" i="246"/>
  <c r="K18" i="246" s="1"/>
  <c r="AI18" i="216"/>
  <c r="F59" i="216" s="1"/>
  <c r="AA15" i="246"/>
  <c r="AA17" i="246" s="1"/>
  <c r="AO14" i="216"/>
  <c r="AO15" i="216"/>
  <c r="AO16" i="216"/>
  <c r="AK6" i="216"/>
  <c r="AJ17" i="216"/>
  <c r="AN18" i="216"/>
  <c r="F64" i="216" s="1"/>
  <c r="AO13" i="216"/>
  <c r="AO17" i="216"/>
  <c r="AO12" i="216"/>
  <c r="AZ14" i="230"/>
  <c r="AZ16" i="230"/>
  <c r="AZ17" i="230"/>
  <c r="AZ19" i="230"/>
  <c r="AZ22" i="230"/>
  <c r="AZ21" i="230"/>
  <c r="AZ15" i="230"/>
  <c r="AZ20" i="230"/>
  <c r="AZ18" i="230"/>
  <c r="AC12" i="230"/>
  <c r="AC17" i="230"/>
  <c r="AB24" i="230"/>
  <c r="F53" i="230" s="1"/>
  <c r="AD6" i="230"/>
  <c r="AD17" i="230" s="1"/>
  <c r="AZ12" i="230"/>
  <c r="AZ23" i="230"/>
  <c r="BA10" i="230"/>
  <c r="AY24" i="230"/>
  <c r="J64" i="216"/>
  <c r="B65" i="216"/>
  <c r="AP10" i="216"/>
  <c r="I54" i="230" l="1"/>
  <c r="J53" i="230"/>
  <c r="L18" i="246"/>
  <c r="AJ18" i="216"/>
  <c r="F60" i="216" s="1"/>
  <c r="AB15" i="246"/>
  <c r="AL6" i="216"/>
  <c r="AM6" i="216" s="1"/>
  <c r="AN6" i="216" s="1"/>
  <c r="AO6" i="216" s="1"/>
  <c r="AP6" i="216" s="1"/>
  <c r="AQ6" i="216" s="1"/>
  <c r="AR6" i="216" s="1"/>
  <c r="AS6" i="216" s="1"/>
  <c r="AT6" i="216" s="1"/>
  <c r="AU6" i="216" s="1"/>
  <c r="AV6" i="216" s="1"/>
  <c r="AW6" i="216" s="1"/>
  <c r="AX6" i="216" s="1"/>
  <c r="AY6" i="216" s="1"/>
  <c r="AZ6" i="216" s="1"/>
  <c r="BA6" i="216" s="1"/>
  <c r="BB6" i="216" s="1"/>
  <c r="BC6" i="216" s="1"/>
  <c r="BD6" i="216" s="1"/>
  <c r="BE6" i="216" s="1"/>
  <c r="BF6" i="216" s="1"/>
  <c r="BG6" i="216" s="1"/>
  <c r="BH6" i="216" s="1"/>
  <c r="BI6" i="216" s="1"/>
  <c r="BJ6" i="216" s="1"/>
  <c r="BK6" i="216" s="1"/>
  <c r="BL6" i="216" s="1"/>
  <c r="BM6" i="216" s="1"/>
  <c r="BN6" i="216" s="1"/>
  <c r="BO6" i="216" s="1"/>
  <c r="BP6" i="216" s="1"/>
  <c r="BQ6" i="216" s="1"/>
  <c r="BR6" i="216" s="1"/>
  <c r="BS6" i="216" s="1"/>
  <c r="AK17" i="216"/>
  <c r="AP14" i="216"/>
  <c r="AP16" i="216"/>
  <c r="AP15" i="216"/>
  <c r="AO18" i="216"/>
  <c r="F65" i="216" s="1"/>
  <c r="AP13" i="216"/>
  <c r="AP17" i="216"/>
  <c r="AP12" i="216"/>
  <c r="BA14" i="230"/>
  <c r="BA16" i="230"/>
  <c r="BA17" i="230"/>
  <c r="BA21" i="230"/>
  <c r="BA22" i="230"/>
  <c r="BA19" i="230"/>
  <c r="BA15" i="230"/>
  <c r="BA18" i="230"/>
  <c r="BA20" i="230"/>
  <c r="AD12" i="230"/>
  <c r="AC24" i="230"/>
  <c r="F54" i="230" s="1"/>
  <c r="AE6" i="230"/>
  <c r="AE17" i="230" s="1"/>
  <c r="BA12" i="230"/>
  <c r="BA23" i="230"/>
  <c r="BB10" i="230"/>
  <c r="AZ24" i="230"/>
  <c r="AQ10" i="216"/>
  <c r="J65" i="216"/>
  <c r="B66" i="216"/>
  <c r="I55" i="230" l="1"/>
  <c r="J54" i="230"/>
  <c r="AB17" i="246"/>
  <c r="M18" i="246"/>
  <c r="AK18" i="216"/>
  <c r="F61" i="216" s="1"/>
  <c r="AC15" i="246"/>
  <c r="AQ15" i="216"/>
  <c r="AQ16" i="216"/>
  <c r="AQ14" i="216"/>
  <c r="AP18" i="216"/>
  <c r="F66" i="216" s="1"/>
  <c r="AQ13" i="216"/>
  <c r="AQ17" i="216"/>
  <c r="AQ12" i="216"/>
  <c r="BB22" i="230"/>
  <c r="BB18" i="230"/>
  <c r="BB20" i="230"/>
  <c r="BB14" i="230"/>
  <c r="BB16" i="230"/>
  <c r="BB17" i="230"/>
  <c r="BB21" i="230"/>
  <c r="BB19" i="230"/>
  <c r="BB15" i="230"/>
  <c r="AE12" i="230"/>
  <c r="AE24" i="230" s="1"/>
  <c r="F56" i="230" s="1"/>
  <c r="AF6" i="230"/>
  <c r="AD24" i="230"/>
  <c r="F55" i="230" s="1"/>
  <c r="BB12" i="230"/>
  <c r="BC10" i="230"/>
  <c r="BB23" i="230"/>
  <c r="BA24" i="230"/>
  <c r="B67" i="216"/>
  <c r="J66" i="216"/>
  <c r="AR10" i="216"/>
  <c r="I56" i="230" l="1"/>
  <c r="J55" i="230"/>
  <c r="N18" i="246"/>
  <c r="AC17" i="246"/>
  <c r="AR14" i="216"/>
  <c r="AR15" i="216"/>
  <c r="AR16" i="216"/>
  <c r="AQ18" i="216"/>
  <c r="F67" i="216" s="1"/>
  <c r="AR13" i="216"/>
  <c r="AR17" i="216"/>
  <c r="AR12" i="216"/>
  <c r="BC22" i="230"/>
  <c r="BC14" i="230"/>
  <c r="BC16" i="230"/>
  <c r="BC20" i="230"/>
  <c r="BC17" i="230"/>
  <c r="BC19" i="230"/>
  <c r="BC21" i="230"/>
  <c r="BC15" i="230"/>
  <c r="BC18" i="230"/>
  <c r="AG6" i="230"/>
  <c r="AF24" i="230"/>
  <c r="F57" i="230" s="1"/>
  <c r="BC12" i="230"/>
  <c r="BD10" i="230"/>
  <c r="BC23" i="230"/>
  <c r="BB24" i="230"/>
  <c r="AS10" i="216"/>
  <c r="B68" i="216"/>
  <c r="J67" i="216"/>
  <c r="I57" i="230" l="1"/>
  <c r="J56" i="230"/>
  <c r="O18" i="246"/>
  <c r="AS16" i="216"/>
  <c r="AS15" i="216"/>
  <c r="AS14" i="216"/>
  <c r="AR18" i="216"/>
  <c r="F68" i="216" s="1"/>
  <c r="AS12" i="216"/>
  <c r="AS13" i="216"/>
  <c r="AS17" i="216"/>
  <c r="BD20" i="230"/>
  <c r="BD22" i="230"/>
  <c r="BD21" i="230"/>
  <c r="BD18" i="230"/>
  <c r="BD14" i="230"/>
  <c r="BD16" i="230"/>
  <c r="BD17" i="230"/>
  <c r="BD19" i="230"/>
  <c r="BD15" i="230"/>
  <c r="AH6" i="230"/>
  <c r="AI6" i="230" s="1"/>
  <c r="AJ6" i="230" s="1"/>
  <c r="AK6" i="230" s="1"/>
  <c r="AL6" i="230" s="1"/>
  <c r="AM6" i="230" s="1"/>
  <c r="AN6" i="230" s="1"/>
  <c r="AO6" i="230" s="1"/>
  <c r="AP6" i="230" s="1"/>
  <c r="AQ6" i="230" s="1"/>
  <c r="AR6" i="230" s="1"/>
  <c r="AS6" i="230" s="1"/>
  <c r="AT6" i="230" s="1"/>
  <c r="AU6" i="230" s="1"/>
  <c r="AV6" i="230" s="1"/>
  <c r="AW6" i="230" s="1"/>
  <c r="AX6" i="230" s="1"/>
  <c r="AY6" i="230" s="1"/>
  <c r="AZ6" i="230" s="1"/>
  <c r="BA6" i="230" s="1"/>
  <c r="BB6" i="230" s="1"/>
  <c r="BC6" i="230" s="1"/>
  <c r="BD6" i="230" s="1"/>
  <c r="BE6" i="230" s="1"/>
  <c r="BF6" i="230" s="1"/>
  <c r="BG6" i="230" s="1"/>
  <c r="BH6" i="230" s="1"/>
  <c r="BI6" i="230" s="1"/>
  <c r="BJ6" i="230" s="1"/>
  <c r="BK6" i="230" s="1"/>
  <c r="BL6" i="230" s="1"/>
  <c r="BM6" i="230" s="1"/>
  <c r="BN6" i="230" s="1"/>
  <c r="BO6" i="230" s="1"/>
  <c r="BP6" i="230" s="1"/>
  <c r="BQ6" i="230" s="1"/>
  <c r="BR6" i="230" s="1"/>
  <c r="BS6" i="230" s="1"/>
  <c r="AG24" i="230"/>
  <c r="F58" i="230" s="1"/>
  <c r="BD12" i="230"/>
  <c r="BD23" i="230"/>
  <c r="BE10" i="230"/>
  <c r="BC24" i="230"/>
  <c r="B69" i="216"/>
  <c r="J68" i="216"/>
  <c r="AT10" i="216"/>
  <c r="I58" i="230" l="1"/>
  <c r="J57" i="230"/>
  <c r="P18" i="246"/>
  <c r="Z4" i="246"/>
  <c r="P4" i="246"/>
  <c r="M4" i="246"/>
  <c r="AB4" i="246"/>
  <c r="Y4" i="246"/>
  <c r="Q4" i="246"/>
  <c r="N4" i="246"/>
  <c r="O4" i="246"/>
  <c r="AC4" i="246"/>
  <c r="AD4" i="246"/>
  <c r="X4" i="246"/>
  <c r="W4" i="246"/>
  <c r="U4" i="246"/>
  <c r="AA4" i="246"/>
  <c r="T4" i="246"/>
  <c r="S4" i="246"/>
  <c r="V4" i="246"/>
  <c r="R4" i="246"/>
  <c r="AT14" i="216"/>
  <c r="AT15" i="216"/>
  <c r="AT16" i="216"/>
  <c r="AS18" i="216"/>
  <c r="F69" i="216" s="1"/>
  <c r="AT12" i="216"/>
  <c r="AT13" i="216"/>
  <c r="AT17" i="216"/>
  <c r="BE17" i="230"/>
  <c r="BE20" i="230"/>
  <c r="BE22" i="230"/>
  <c r="BE19" i="230"/>
  <c r="BE14" i="230"/>
  <c r="BE16" i="230"/>
  <c r="BE21" i="230"/>
  <c r="BE18" i="230"/>
  <c r="BE15" i="230"/>
  <c r="BE12" i="230"/>
  <c r="BE23" i="230"/>
  <c r="BF10" i="230"/>
  <c r="BD24" i="230"/>
  <c r="AU10" i="216"/>
  <c r="B70" i="216"/>
  <c r="J69" i="216"/>
  <c r="I59" i="230" l="1"/>
  <c r="J58" i="230"/>
  <c r="Q18" i="246"/>
  <c r="J4" i="246"/>
  <c r="J5" i="246" s="1"/>
  <c r="L4" i="246"/>
  <c r="AU14" i="216"/>
  <c r="AU16" i="216"/>
  <c r="AU15" i="216"/>
  <c r="AT18" i="216"/>
  <c r="F70" i="216" s="1"/>
  <c r="AU12" i="216"/>
  <c r="AU13" i="216"/>
  <c r="AU17" i="216"/>
  <c r="BF18" i="230"/>
  <c r="BF21" i="230"/>
  <c r="BF20" i="230"/>
  <c r="BF19" i="230"/>
  <c r="BF22" i="230"/>
  <c r="BF14" i="230"/>
  <c r="BF16" i="230"/>
  <c r="BF17" i="230"/>
  <c r="BF15" i="230"/>
  <c r="BF12" i="230"/>
  <c r="BF23" i="230"/>
  <c r="BG10" i="230"/>
  <c r="BE24" i="230"/>
  <c r="AV10" i="216"/>
  <c r="J70" i="216"/>
  <c r="I60" i="230" l="1"/>
  <c r="J59" i="230"/>
  <c r="I8" i="246" a="1"/>
  <c r="I8" i="246" s="1"/>
  <c r="J20" i="246"/>
  <c r="R18" i="246"/>
  <c r="K5" i="246"/>
  <c r="AV16" i="216"/>
  <c r="AV15" i="216"/>
  <c r="AV14" i="216"/>
  <c r="AU18" i="216"/>
  <c r="AV12" i="216"/>
  <c r="AV13" i="216"/>
  <c r="AV17" i="216"/>
  <c r="BG16" i="230"/>
  <c r="BG17" i="230"/>
  <c r="BG18" i="230"/>
  <c r="BG21" i="230"/>
  <c r="BG20" i="230"/>
  <c r="BG14" i="230"/>
  <c r="BG22" i="230"/>
  <c r="BG19" i="230"/>
  <c r="BG15" i="230"/>
  <c r="BG12" i="230"/>
  <c r="BG23" i="230"/>
  <c r="BH10" i="230"/>
  <c r="BF24" i="230"/>
  <c r="AW10" i="216"/>
  <c r="I61" i="230" l="1"/>
  <c r="J60" i="230"/>
  <c r="J8" i="246" a="1"/>
  <c r="J8" i="246" s="1"/>
  <c r="K20" i="246"/>
  <c r="S18" i="246"/>
  <c r="L5" i="246"/>
  <c r="AW16" i="216"/>
  <c r="AW15" i="216"/>
  <c r="AW14" i="216"/>
  <c r="AV18" i="216"/>
  <c r="AW12" i="216"/>
  <c r="AW13" i="216"/>
  <c r="AW17" i="216"/>
  <c r="BH15" i="230"/>
  <c r="BH18" i="230"/>
  <c r="BH16" i="230"/>
  <c r="BH21" i="230"/>
  <c r="BH20" i="230"/>
  <c r="BH14" i="230"/>
  <c r="BH17" i="230"/>
  <c r="BH22" i="230"/>
  <c r="BH19" i="230"/>
  <c r="BH12" i="230"/>
  <c r="BH23" i="230"/>
  <c r="BI10" i="230"/>
  <c r="BG24" i="230"/>
  <c r="AX10" i="216"/>
  <c r="I62" i="230" l="1"/>
  <c r="J61" i="230"/>
  <c r="K8" i="246" a="1"/>
  <c r="K8" i="246" s="1"/>
  <c r="L20" i="246"/>
  <c r="T18" i="246"/>
  <c r="M5" i="246"/>
  <c r="M20" i="246" s="1"/>
  <c r="AX14" i="216"/>
  <c r="AX16" i="216"/>
  <c r="AX15" i="216"/>
  <c r="AW18" i="216"/>
  <c r="AX12" i="216"/>
  <c r="AX13" i="216"/>
  <c r="AX17" i="216"/>
  <c r="BI15" i="230"/>
  <c r="BI16" i="230"/>
  <c r="BI18" i="230"/>
  <c r="BI19" i="230"/>
  <c r="BI20" i="230"/>
  <c r="BI22" i="230"/>
  <c r="BI14" i="230"/>
  <c r="BI21" i="230"/>
  <c r="BI17" i="230"/>
  <c r="BH24" i="230"/>
  <c r="BI12" i="230"/>
  <c r="BI23" i="230"/>
  <c r="BJ10" i="230"/>
  <c r="AY10" i="216"/>
  <c r="J62" i="230" l="1"/>
  <c r="J63" i="230"/>
  <c r="J64" i="230"/>
  <c r="U18" i="246"/>
  <c r="N5" i="246"/>
  <c r="AY16" i="216"/>
  <c r="AY15" i="216"/>
  <c r="AY14" i="216"/>
  <c r="AX18" i="216"/>
  <c r="AY12" i="216"/>
  <c r="AY13" i="216"/>
  <c r="AY17" i="216"/>
  <c r="BJ22" i="230"/>
  <c r="BJ15" i="230"/>
  <c r="BJ19" i="230"/>
  <c r="BJ21" i="230"/>
  <c r="BJ18" i="230"/>
  <c r="BJ20" i="230"/>
  <c r="BJ14" i="230"/>
  <c r="BJ16" i="230"/>
  <c r="BJ17" i="230"/>
  <c r="BI24" i="230"/>
  <c r="BJ12" i="230"/>
  <c r="BK10" i="230"/>
  <c r="BJ23" i="230"/>
  <c r="AZ10" i="216"/>
  <c r="M10" i="246" l="1" a="1"/>
  <c r="M10" i="246" s="1"/>
  <c r="N20" i="246"/>
  <c r="V18" i="246"/>
  <c r="O5" i="246"/>
  <c r="AZ15" i="216"/>
  <c r="AZ16" i="216"/>
  <c r="AZ14" i="216"/>
  <c r="AY18" i="216"/>
  <c r="AZ17" i="216"/>
  <c r="AZ12" i="216"/>
  <c r="AZ13" i="216"/>
  <c r="BK21" i="230"/>
  <c r="BK20" i="230"/>
  <c r="BK22" i="230"/>
  <c r="BK15" i="230"/>
  <c r="BK18" i="230"/>
  <c r="BK17" i="230"/>
  <c r="BK19" i="230"/>
  <c r="BK14" i="230"/>
  <c r="BK16" i="230"/>
  <c r="BK12" i="230"/>
  <c r="BK23" i="230"/>
  <c r="BL10" i="230"/>
  <c r="BJ24" i="230"/>
  <c r="BA10" i="216"/>
  <c r="N10" i="246" l="1" a="1"/>
  <c r="N10" i="246" s="1"/>
  <c r="O20" i="246"/>
  <c r="W18" i="246"/>
  <c r="P5" i="246"/>
  <c r="BA15" i="216"/>
  <c r="BA14" i="216"/>
  <c r="BA16" i="216"/>
  <c r="AZ18" i="216"/>
  <c r="BA17" i="216"/>
  <c r="BA12" i="216"/>
  <c r="BA13" i="216"/>
  <c r="BL18" i="230"/>
  <c r="BL20" i="230"/>
  <c r="BL21" i="230"/>
  <c r="BL15" i="230"/>
  <c r="BL16" i="230"/>
  <c r="BL19" i="230"/>
  <c r="BL22" i="230"/>
  <c r="BL14" i="230"/>
  <c r="BL17" i="230"/>
  <c r="BK24" i="230"/>
  <c r="BL12" i="230"/>
  <c r="BL23" i="230"/>
  <c r="BM10" i="230"/>
  <c r="BB10" i="216"/>
  <c r="O10" i="246" l="1" a="1"/>
  <c r="O10" i="246" s="1"/>
  <c r="P20" i="246"/>
  <c r="X18" i="246"/>
  <c r="Q5" i="246"/>
  <c r="BB15" i="216"/>
  <c r="BB14" i="216"/>
  <c r="BB16" i="216"/>
  <c r="BA18" i="216"/>
  <c r="BB13" i="216"/>
  <c r="BB17" i="216"/>
  <c r="BB12" i="216"/>
  <c r="BM19" i="230"/>
  <c r="BM18" i="230"/>
  <c r="BM20" i="230"/>
  <c r="BM21" i="230"/>
  <c r="BM17" i="230"/>
  <c r="BM15" i="230"/>
  <c r="BM22" i="230"/>
  <c r="BM14" i="230"/>
  <c r="BM16" i="230"/>
  <c r="BM12" i="230"/>
  <c r="BM23" i="230"/>
  <c r="BN10" i="230"/>
  <c r="BL24" i="230"/>
  <c r="BC10" i="216"/>
  <c r="P10" i="246" l="1" a="1"/>
  <c r="P10" i="246" s="1"/>
  <c r="Q20" i="246"/>
  <c r="Y18" i="246"/>
  <c r="R5" i="246"/>
  <c r="BC15" i="216"/>
  <c r="BC14" i="216"/>
  <c r="BC16" i="216"/>
  <c r="BB18" i="216"/>
  <c r="BC17" i="216"/>
  <c r="BC13" i="216"/>
  <c r="BC12" i="216"/>
  <c r="BN17" i="230"/>
  <c r="BN19" i="230"/>
  <c r="BN21" i="230"/>
  <c r="BN15" i="230"/>
  <c r="BN18" i="230"/>
  <c r="BN20" i="230"/>
  <c r="BN22" i="230"/>
  <c r="BN14" i="230"/>
  <c r="BN16" i="230"/>
  <c r="BN12" i="230"/>
  <c r="BO10" i="230"/>
  <c r="BN23" i="230"/>
  <c r="BM24" i="230"/>
  <c r="BD10" i="216"/>
  <c r="Q10" i="246" l="1" a="1"/>
  <c r="Q10" i="246" s="1"/>
  <c r="R20" i="246"/>
  <c r="Z18" i="246"/>
  <c r="S5" i="246"/>
  <c r="BD15" i="216"/>
  <c r="BD16" i="216"/>
  <c r="BD14" i="216"/>
  <c r="BC18" i="216"/>
  <c r="BD17" i="216"/>
  <c r="BD13" i="216"/>
  <c r="BD12" i="216"/>
  <c r="BO17" i="230"/>
  <c r="BO18" i="230"/>
  <c r="BO19" i="230"/>
  <c r="BO22" i="230"/>
  <c r="BO21" i="230"/>
  <c r="BO15" i="230"/>
  <c r="BO20" i="230"/>
  <c r="BO16" i="230"/>
  <c r="BO14" i="230"/>
  <c r="BO12" i="230"/>
  <c r="BP10" i="230"/>
  <c r="BO23" i="230"/>
  <c r="BN24" i="230"/>
  <c r="BE10" i="216"/>
  <c r="R10" i="246" l="1" a="1"/>
  <c r="R10" i="246" s="1"/>
  <c r="S20" i="246"/>
  <c r="AA18" i="246"/>
  <c r="T5" i="246"/>
  <c r="BE16" i="216"/>
  <c r="BE15" i="216"/>
  <c r="BE14" i="216"/>
  <c r="BD18" i="216"/>
  <c r="BE13" i="216"/>
  <c r="BE17" i="216"/>
  <c r="BE12" i="216"/>
  <c r="BP14" i="230"/>
  <c r="BP16" i="230"/>
  <c r="BP17" i="230"/>
  <c r="BP22" i="230"/>
  <c r="BP19" i="230"/>
  <c r="BP15" i="230"/>
  <c r="BP21" i="230"/>
  <c r="BP20" i="230"/>
  <c r="BP18" i="230"/>
  <c r="BO24" i="230"/>
  <c r="BP12" i="230"/>
  <c r="BQ10" i="230"/>
  <c r="BP23" i="230"/>
  <c r="BF10" i="216"/>
  <c r="S10" i="246" l="1" a="1"/>
  <c r="S10" i="246" s="1"/>
  <c r="T12" i="246" a="1"/>
  <c r="T12" i="246" s="1"/>
  <c r="T20" i="246"/>
  <c r="AB18" i="246"/>
  <c r="U5" i="246"/>
  <c r="BF15" i="216"/>
  <c r="BF14" i="216"/>
  <c r="BF16" i="216"/>
  <c r="BE18" i="216"/>
  <c r="BF13" i="216"/>
  <c r="BF17" i="216"/>
  <c r="BF12" i="216"/>
  <c r="BQ21" i="230"/>
  <c r="BQ15" i="230"/>
  <c r="BQ14" i="230"/>
  <c r="BQ16" i="230"/>
  <c r="BQ17" i="230"/>
  <c r="BQ19" i="230"/>
  <c r="BQ20" i="230"/>
  <c r="BQ18" i="230"/>
  <c r="BQ22" i="230"/>
  <c r="BP24" i="230"/>
  <c r="BQ12" i="230"/>
  <c r="BR10" i="230"/>
  <c r="BQ23" i="230"/>
  <c r="BG10" i="216"/>
  <c r="U12" i="246" l="1" a="1"/>
  <c r="U12" i="246" s="1"/>
  <c r="T10" i="246" a="1"/>
  <c r="T10" i="246" s="1"/>
  <c r="U20" i="246"/>
  <c r="AC18" i="246"/>
  <c r="V5" i="246"/>
  <c r="BG16" i="216"/>
  <c r="BG15" i="216"/>
  <c r="BG14" i="216"/>
  <c r="BF18" i="216"/>
  <c r="BG13" i="216"/>
  <c r="BG17" i="216"/>
  <c r="BG12" i="216"/>
  <c r="BR22" i="230"/>
  <c r="BR14" i="230"/>
  <c r="BR16" i="230"/>
  <c r="BR17" i="230"/>
  <c r="BR19" i="230"/>
  <c r="BR21" i="230"/>
  <c r="BR15" i="230"/>
  <c r="BR18" i="230"/>
  <c r="BR20" i="230"/>
  <c r="BQ24" i="230"/>
  <c r="BR12" i="230"/>
  <c r="BS10" i="230"/>
  <c r="BR23" i="230"/>
  <c r="BH10" i="216"/>
  <c r="V12" i="246" l="1" a="1"/>
  <c r="V12" i="246" s="1"/>
  <c r="V20" i="246"/>
  <c r="AD18" i="246"/>
  <c r="AE18" i="246" s="1"/>
  <c r="W5" i="246"/>
  <c r="BH15" i="216"/>
  <c r="BH14" i="216"/>
  <c r="BH16" i="216"/>
  <c r="BG18" i="216"/>
  <c r="BH12" i="216"/>
  <c r="BH13" i="216"/>
  <c r="BH17" i="216"/>
  <c r="BS20" i="230"/>
  <c r="BT20" i="230" s="1"/>
  <c r="BS22" i="230"/>
  <c r="BT22" i="230" s="1"/>
  <c r="BS18" i="230"/>
  <c r="BS14" i="230"/>
  <c r="BS16" i="230"/>
  <c r="BT16" i="230" s="1"/>
  <c r="BS17" i="230"/>
  <c r="BT17" i="230" s="1"/>
  <c r="BS19" i="230"/>
  <c r="BT19" i="230" s="1"/>
  <c r="BS21" i="230"/>
  <c r="BS15" i="230"/>
  <c r="BT15" i="230" s="1"/>
  <c r="BR24" i="230"/>
  <c r="BS12" i="230"/>
  <c r="BT12" i="230" s="1"/>
  <c r="BS23" i="230"/>
  <c r="BT23" i="230" s="1"/>
  <c r="BI10" i="216"/>
  <c r="BT24" i="230" l="1"/>
  <c r="W12" i="246" a="1"/>
  <c r="W12" i="246" s="1"/>
  <c r="W20" i="246"/>
  <c r="X5" i="246"/>
  <c r="BI14" i="216"/>
  <c r="BI15" i="216"/>
  <c r="BI16" i="216"/>
  <c r="BH18" i="216"/>
  <c r="BI12" i="216"/>
  <c r="BI13" i="216"/>
  <c r="BI17" i="216"/>
  <c r="BS24" i="230"/>
  <c r="BJ10" i="216"/>
  <c r="X12" i="246" l="1" a="1"/>
  <c r="X12" i="246" s="1"/>
  <c r="X20" i="246"/>
  <c r="Y5" i="246"/>
  <c r="BJ16" i="216"/>
  <c r="BJ14" i="216"/>
  <c r="BJ15" i="216"/>
  <c r="BI18" i="216"/>
  <c r="BJ12" i="216"/>
  <c r="BJ13" i="216"/>
  <c r="BJ17" i="216"/>
  <c r="BK10" i="216"/>
  <c r="Y12" i="246" l="1" a="1"/>
  <c r="Y12" i="246" s="1"/>
  <c r="Y14" i="246" a="1"/>
  <c r="Y14" i="246" s="1"/>
  <c r="Y20" i="246"/>
  <c r="Z5" i="246"/>
  <c r="BK15" i="216"/>
  <c r="BK14" i="216"/>
  <c r="BK16" i="216"/>
  <c r="BJ18" i="216"/>
  <c r="BK12" i="216"/>
  <c r="BK13" i="216"/>
  <c r="BK17" i="216"/>
  <c r="BL10" i="216"/>
  <c r="Z14" i="246" l="1" a="1"/>
  <c r="Z14" i="246" s="1"/>
  <c r="Z12" i="246" a="1"/>
  <c r="Z12" i="246" s="1"/>
  <c r="Z20" i="246"/>
  <c r="AA5" i="246"/>
  <c r="BL15" i="216"/>
  <c r="BL16" i="216"/>
  <c r="BL14" i="216"/>
  <c r="BK18" i="216"/>
  <c r="BL12" i="216"/>
  <c r="BL13" i="216"/>
  <c r="BL17" i="216"/>
  <c r="BM10" i="216"/>
  <c r="AA14" i="246" l="1" a="1"/>
  <c r="AA14" i="246" s="1"/>
  <c r="AA12" i="246" a="1"/>
  <c r="AA12" i="246" s="1"/>
  <c r="AA20" i="246"/>
  <c r="AB5" i="246"/>
  <c r="BM16" i="216"/>
  <c r="BM15" i="216"/>
  <c r="BM14" i="216"/>
  <c r="BL18" i="216"/>
  <c r="BM12" i="216"/>
  <c r="BM17" i="216"/>
  <c r="BM13" i="216"/>
  <c r="BN10" i="216"/>
  <c r="AB14" i="246" l="1" a="1"/>
  <c r="AB14" i="246" s="1"/>
  <c r="AB16" i="246" a="1"/>
  <c r="AB16" i="246" s="1"/>
  <c r="AB20" i="246"/>
  <c r="AC5" i="246"/>
  <c r="BN14" i="216"/>
  <c r="BN16" i="216"/>
  <c r="BN15" i="216"/>
  <c r="BM18" i="216"/>
  <c r="BN12" i="216"/>
  <c r="BN13" i="216"/>
  <c r="BN17" i="216"/>
  <c r="BO10" i="216"/>
  <c r="AC14" i="246" l="1" a="1"/>
  <c r="AC14" i="246" s="1"/>
  <c r="AC16" i="246" a="1"/>
  <c r="AC16" i="246" s="1"/>
  <c r="AC20" i="246"/>
  <c r="AD5" i="246"/>
  <c r="AE5" i="246" s="1"/>
  <c r="BO15" i="216"/>
  <c r="BO16" i="216"/>
  <c r="BO14" i="216"/>
  <c r="BN18" i="216"/>
  <c r="BO12" i="216"/>
  <c r="BO13" i="216"/>
  <c r="BO17" i="216"/>
  <c r="BP10" i="216"/>
  <c r="AE20" i="246" l="1"/>
  <c r="AE16" i="246" a="1"/>
  <c r="AE16" i="246" s="1"/>
  <c r="AD16" i="246" a="1"/>
  <c r="AD16" i="246" s="1"/>
  <c r="AD20" i="246"/>
  <c r="BP15" i="216"/>
  <c r="BP16" i="216"/>
  <c r="BP14" i="216"/>
  <c r="BO18" i="216"/>
  <c r="BP17" i="216"/>
  <c r="BP12" i="216"/>
  <c r="BP13" i="216"/>
  <c r="BQ10" i="216"/>
  <c r="BQ15" i="216" l="1"/>
  <c r="BQ14" i="216"/>
  <c r="BQ16" i="216"/>
  <c r="BP18" i="216"/>
  <c r="BQ17" i="216"/>
  <c r="BQ12" i="216"/>
  <c r="BQ13" i="216"/>
  <c r="BR10" i="216"/>
  <c r="BR15" i="216" l="1"/>
  <c r="BR16" i="216"/>
  <c r="BR14" i="216"/>
  <c r="BQ18" i="216"/>
  <c r="BR13" i="216"/>
  <c r="BR17" i="216"/>
  <c r="BR12" i="216"/>
  <c r="BS10" i="216"/>
  <c r="BS15" i="216" l="1"/>
  <c r="BS14" i="216"/>
  <c r="BS16" i="216"/>
  <c r="BR18" i="216"/>
  <c r="BS13" i="216"/>
  <c r="BS17" i="216"/>
  <c r="BS12" i="216"/>
  <c r="BT12" i="216" s="1"/>
  <c r="BS18" i="216" l="1"/>
  <c r="N36" i="216" l="1"/>
  <c r="C37" i="216" s="1"/>
  <c r="K37" i="216" s="1"/>
  <c r="N37" i="216" s="1"/>
  <c r="C38" i="216" s="1"/>
  <c r="K38" i="216" s="1"/>
  <c r="N38" i="216" s="1"/>
  <c r="C39" i="216" s="1"/>
  <c r="K39" i="216" s="1"/>
  <c r="N39" i="216" s="1"/>
  <c r="C40" i="216" s="1"/>
  <c r="K40" i="216" s="1"/>
  <c r="N40" i="216" s="1"/>
  <c r="C41" i="216" s="1"/>
  <c r="K41" i="216" s="1"/>
  <c r="N41" i="216" s="1"/>
  <c r="C42" i="216" s="1"/>
  <c r="K42" i="216" s="1"/>
  <c r="N42" i="216" s="1"/>
  <c r="C43" i="216" s="1"/>
  <c r="K43" i="216" s="1"/>
  <c r="N43" i="216" s="1"/>
  <c r="C44" i="216" s="1"/>
  <c r="K44" i="216" s="1"/>
  <c r="N44" i="216" s="1"/>
  <c r="C45" i="216" s="1"/>
  <c r="K45" i="216" s="1"/>
  <c r="N45" i="216" s="1"/>
  <c r="C46" i="216" s="1"/>
  <c r="K46" i="216" s="1"/>
  <c r="N46" i="216" s="1"/>
  <c r="C47" i="216" s="1"/>
  <c r="K47" i="216" s="1"/>
  <c r="N47" i="216" s="1"/>
  <c r="C48" i="216" s="1"/>
  <c r="K48" i="216" s="1"/>
  <c r="N48" i="216" s="1"/>
  <c r="C49" i="216" s="1"/>
  <c r="K49" i="216" s="1"/>
  <c r="N49" i="216" s="1"/>
  <c r="C50" i="216" s="1"/>
  <c r="K50" i="216" s="1"/>
  <c r="N50" i="216" s="1"/>
  <c r="C51" i="216" s="1"/>
  <c r="K51" i="216" s="1"/>
  <c r="N51" i="216" s="1"/>
  <c r="C52" i="216" s="1"/>
  <c r="K52" i="216" s="1"/>
  <c r="N52" i="216" s="1"/>
  <c r="C53" i="216" s="1"/>
  <c r="K53" i="216" s="1"/>
  <c r="N53" i="216" s="1"/>
  <c r="C54" i="216" s="1"/>
  <c r="K54" i="216" s="1"/>
  <c r="N54" i="216" s="1"/>
  <c r="C55" i="216" s="1"/>
  <c r="K55" i="216" s="1"/>
  <c r="N55" i="216" s="1"/>
  <c r="C56" i="216" s="1"/>
  <c r="K56" i="216" s="1"/>
  <c r="N56" i="216" s="1"/>
  <c r="C57" i="216" s="1"/>
  <c r="K57" i="216" s="1"/>
  <c r="N57" i="216" s="1"/>
  <c r="C58" i="216" s="1"/>
  <c r="K58" i="216" s="1"/>
  <c r="N58" i="216" s="1"/>
  <c r="C59" i="216" s="1"/>
  <c r="K59" i="216" s="1"/>
  <c r="N59" i="216" s="1"/>
  <c r="C60" i="216" s="1"/>
  <c r="K60" i="216" s="1"/>
  <c r="N60" i="216" s="1"/>
  <c r="C61" i="216" s="1"/>
  <c r="K61" i="216" s="1"/>
  <c r="N61" i="216" s="1"/>
  <c r="C62" i="216" s="1"/>
  <c r="K62" i="216" s="1"/>
  <c r="N62" i="216" s="1"/>
  <c r="C63" i="216" s="1"/>
  <c r="K63" i="216" s="1"/>
  <c r="N63" i="216" s="1"/>
  <c r="C64" i="216" s="1"/>
  <c r="K64" i="216" s="1"/>
  <c r="N64" i="216" s="1"/>
  <c r="C65" i="216" l="1"/>
  <c r="K65" i="216" s="1"/>
  <c r="N65" i="216" s="1"/>
  <c r="C66" i="216" s="1"/>
  <c r="K66" i="216" s="1"/>
  <c r="N66" i="216" s="1"/>
  <c r="C67" i="216" s="1"/>
  <c r="K67" i="216" s="1"/>
  <c r="N67" i="216" s="1"/>
  <c r="C68" i="216" s="1"/>
  <c r="K68" i="216" s="1"/>
  <c r="N68" i="216" s="1"/>
  <c r="C69" i="216" s="1"/>
  <c r="K69" i="216" s="1"/>
  <c r="N69" i="216" s="1"/>
  <c r="C70" i="216" s="1"/>
  <c r="K70" i="216" s="1"/>
  <c r="N70" i="216" s="1"/>
  <c r="W8" i="237" l="1"/>
  <c r="X8" i="237" s="1"/>
  <c r="X18" i="237" s="1"/>
  <c r="AF8" i="237" l="1"/>
  <c r="K8" i="212"/>
  <c r="AJ8" i="237" l="1"/>
  <c r="N8" i="212" s="1"/>
  <c r="N18" i="212" s="1"/>
  <c r="L8" i="212"/>
  <c r="AI8" i="237"/>
  <c r="M8" i="212" s="1"/>
  <c r="M18" i="212" s="1"/>
  <c r="L18" i="212" l="1"/>
  <c r="F14" i="230"/>
  <c r="H14" i="230" l="1"/>
  <c r="K14" i="230" s="1"/>
  <c r="T14" i="230" l="1"/>
  <c r="T24" i="230" s="1"/>
  <c r="F45" i="230" s="1"/>
  <c r="S14" i="230"/>
  <c r="S24" i="230" s="1"/>
  <c r="F44" i="230" s="1"/>
  <c r="R14" i="230"/>
  <c r="R24" i="230" s="1"/>
  <c r="F43" i="230" s="1"/>
  <c r="N14" i="230"/>
  <c r="U14" i="230"/>
  <c r="F46" i="230" s="1"/>
  <c r="O14" i="230"/>
  <c r="O24" i="230" s="1"/>
  <c r="F40" i="230" s="1"/>
  <c r="P14" i="230"/>
  <c r="P24" i="230" s="1"/>
  <c r="F41" i="230" s="1"/>
  <c r="N24" i="230" l="1"/>
  <c r="F39" i="230" s="1"/>
  <c r="K39" i="230" l="1"/>
  <c r="L39" i="230" s="1"/>
  <c r="M39" i="230" l="1"/>
  <c r="N39" i="230" s="1"/>
  <c r="C40" i="230" s="1"/>
  <c r="K40" i="230" l="1"/>
  <c r="M40" i="230" s="1"/>
  <c r="L40" i="230" l="1"/>
  <c r="N40" i="230"/>
  <c r="C41" i="230" s="1"/>
  <c r="K41" i="230" l="1"/>
  <c r="M41" i="230" s="1"/>
  <c r="L41" i="230" l="1"/>
  <c r="N41" i="230" s="1"/>
  <c r="C42" i="230" s="1"/>
  <c r="K42" i="230" s="1"/>
  <c r="M42" i="230" s="1"/>
  <c r="L42" i="230" l="1"/>
  <c r="N42" i="230" s="1"/>
  <c r="C43" i="230" s="1"/>
  <c r="K43" i="230" s="1"/>
  <c r="M43" i="230" s="1"/>
  <c r="L43" i="230" l="1"/>
  <c r="N43" i="230" s="1"/>
  <c r="C44" i="230" s="1"/>
  <c r="K44" i="230" s="1"/>
  <c r="L44" i="230" s="1"/>
  <c r="M44" i="230"/>
  <c r="N44" i="230" l="1"/>
  <c r="C45" i="230" s="1"/>
  <c r="K45" i="230" s="1"/>
  <c r="L45" i="230" l="1"/>
  <c r="M45" i="230"/>
  <c r="N45" i="230" l="1"/>
  <c r="C46" i="230" s="1"/>
  <c r="K46" i="230" s="1"/>
  <c r="L46" i="230" l="1"/>
  <c r="M46" i="230"/>
  <c r="N46" i="230" l="1"/>
  <c r="C47" i="230" s="1"/>
  <c r="K47" i="230" s="1"/>
  <c r="L47" i="230" l="1"/>
  <c r="M47" i="230"/>
  <c r="N47" i="230" l="1"/>
  <c r="C48" i="230" s="1"/>
  <c r="K48" i="230" s="1"/>
  <c r="L48" i="230" l="1"/>
  <c r="M48" i="230"/>
  <c r="N48" i="230" l="1"/>
  <c r="C49" i="230" s="1"/>
  <c r="K49" i="230" s="1"/>
  <c r="M49" i="230" l="1"/>
  <c r="L49" i="230"/>
  <c r="N49" i="230" l="1"/>
  <c r="C50" i="230" s="1"/>
  <c r="K50" i="230" s="1"/>
  <c r="L50" i="230" s="1"/>
  <c r="M50" i="230" l="1"/>
  <c r="N50" i="230" s="1"/>
  <c r="C51" i="230" s="1"/>
  <c r="K51" i="230" s="1"/>
  <c r="M51" i="230" l="1"/>
  <c r="L51" i="230"/>
  <c r="N51" i="230" l="1"/>
  <c r="C52" i="230" s="1"/>
  <c r="K52" i="230" s="1"/>
  <c r="M52" i="230" s="1"/>
  <c r="L52" i="230" l="1"/>
  <c r="N52" i="230" s="1"/>
  <c r="C53" i="230" s="1"/>
  <c r="K53" i="230" s="1"/>
  <c r="L53" i="230" s="1"/>
  <c r="M53" i="230" l="1"/>
  <c r="N53" i="230" s="1"/>
  <c r="C54" i="230" s="1"/>
  <c r="K54" i="230" s="1"/>
  <c r="M54" i="230" l="1"/>
  <c r="L54" i="230"/>
  <c r="N54" i="230" l="1"/>
  <c r="C55" i="230" s="1"/>
  <c r="K55" i="230" s="1"/>
  <c r="L55" i="230" s="1"/>
  <c r="M55" i="230" l="1"/>
  <c r="N55" i="230" s="1"/>
  <c r="C56" i="230" s="1"/>
  <c r="K56" i="230" s="1"/>
  <c r="M56" i="230" l="1"/>
  <c r="L56" i="230"/>
  <c r="N56" i="230" l="1"/>
  <c r="C57" i="230" s="1"/>
  <c r="K57" i="230" s="1"/>
  <c r="L57" i="230" s="1"/>
  <c r="M57" i="230" l="1"/>
  <c r="N57" i="230" s="1"/>
  <c r="C58" i="230" s="1"/>
  <c r="K58" i="230" s="1"/>
  <c r="M58" i="230" l="1"/>
  <c r="L58" i="230"/>
  <c r="N58" i="230" l="1"/>
  <c r="C59" i="230" s="1"/>
  <c r="K59" i="230" s="1"/>
  <c r="L59" i="230" s="1"/>
  <c r="M59" i="230" l="1"/>
  <c r="N59" i="230" s="1"/>
  <c r="C60" i="230" s="1"/>
  <c r="K60" i="230" s="1"/>
  <c r="L60" i="230" l="1"/>
  <c r="M60" i="230"/>
  <c r="N60" i="230" l="1"/>
  <c r="C61" i="230" s="1"/>
  <c r="K61" i="230" s="1"/>
  <c r="M61" i="230" l="1"/>
  <c r="L61" i="230"/>
  <c r="N61" i="230" l="1"/>
  <c r="C62" i="230" s="1"/>
  <c r="K62" i="230" s="1"/>
  <c r="M62" i="230" s="1"/>
  <c r="L62" i="230" l="1"/>
  <c r="N62" i="230" s="1"/>
  <c r="C63" i="230" s="1"/>
  <c r="K63" i="230" s="1"/>
  <c r="M63" i="230" s="1"/>
  <c r="L63" i="230" l="1"/>
  <c r="N63" i="230" s="1"/>
  <c r="C64" i="230" s="1"/>
  <c r="K64" i="230" s="1"/>
  <c r="L64" i="230" s="1"/>
  <c r="M64" i="230" l="1"/>
  <c r="N64" i="230" s="1"/>
  <c r="C65" i="230" s="1"/>
  <c r="K65" i="230" s="1"/>
  <c r="M65" i="230" l="1"/>
  <c r="L65" i="230"/>
  <c r="N65" i="230" l="1"/>
  <c r="C66" i="230" s="1"/>
  <c r="K66" i="230" s="1"/>
  <c r="M66" i="230" s="1"/>
  <c r="L66" i="230" l="1"/>
  <c r="N66" i="230" s="1"/>
  <c r="C67" i="230" s="1"/>
  <c r="K67" i="230" s="1"/>
  <c r="M67" i="230" l="1"/>
  <c r="M73" i="230" s="1"/>
  <c r="L67" i="230"/>
  <c r="L73" i="230" s="1"/>
  <c r="N67" i="230" l="1"/>
  <c r="C68" i="230" s="1"/>
  <c r="K68" i="230" s="1"/>
  <c r="L68" i="230" s="1"/>
  <c r="M68" i="230" l="1"/>
  <c r="N68" i="230" s="1"/>
  <c r="C69" i="230" s="1"/>
  <c r="K69" i="230" s="1"/>
  <c r="M69" i="230" s="1"/>
  <c r="L69" i="230" l="1"/>
  <c r="N69" i="230" s="1"/>
  <c r="C70" i="230" s="1"/>
  <c r="K70" i="230" s="1"/>
  <c r="M70" i="230" l="1"/>
  <c r="L70" i="230"/>
  <c r="N70" i="230" l="1"/>
  <c r="C71" i="230" s="1"/>
  <c r="K71" i="230" l="1"/>
  <c r="M71" i="230" s="1"/>
  <c r="L71" i="230" l="1"/>
  <c r="N71" i="23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<sst xmlns="http://schemas.openxmlformats.org/spreadsheetml/2006/main" count="500" uniqueCount="286">
  <si>
    <t>Project #</t>
  </si>
  <si>
    <t>Category and Project Description</t>
  </si>
  <si>
    <t>Timing</t>
  </si>
  <si>
    <t>Years</t>
  </si>
  <si>
    <t>Start Year</t>
  </si>
  <si>
    <t>End Year</t>
  </si>
  <si>
    <t>TOTAL</t>
  </si>
  <si>
    <t>+</t>
  </si>
  <si>
    <t>-</t>
  </si>
  <si>
    <t>Year</t>
  </si>
  <si>
    <t>Total</t>
  </si>
  <si>
    <t>starting</t>
  </si>
  <si>
    <t>b</t>
  </si>
  <si>
    <t>a</t>
  </si>
  <si>
    <t>f</t>
  </si>
  <si>
    <t>e</t>
  </si>
  <si>
    <t>g</t>
  </si>
  <si>
    <t>h</t>
  </si>
  <si>
    <t>i</t>
  </si>
  <si>
    <t>j</t>
  </si>
  <si>
    <t>Benefit to New Development</t>
  </si>
  <si>
    <t>Benefit to Exisitng Development</t>
  </si>
  <si>
    <t>Annual total (ha)</t>
  </si>
  <si>
    <t>Current Year</t>
  </si>
  <si>
    <t xml:space="preserve">enter figure </t>
  </si>
  <si>
    <t>Interest Rates (%)</t>
  </si>
  <si>
    <t>Off-site Levy Project Costs before  Cost Deductions</t>
  </si>
  <si>
    <t>Off-site Levy Recoverable</t>
  </si>
  <si>
    <t>Payment Timing - Off-site Levies</t>
  </si>
  <si>
    <t>Population Growth Rate</t>
  </si>
  <si>
    <t>Annual Population Growth</t>
  </si>
  <si>
    <t>Project Description</t>
  </si>
  <si>
    <t>Town of Okotoks</t>
  </si>
  <si>
    <t>Off-site Levy Fee Reserve Fund Closing Balance</t>
  </si>
  <si>
    <t>Cumulative Surplus (Deficit)</t>
  </si>
  <si>
    <t>Anticipated Fee Revenue</t>
  </si>
  <si>
    <t>Hectares per year</t>
  </si>
  <si>
    <t>Off-site Levy Fee Reserve Fund Opening Balance</t>
  </si>
  <si>
    <t>Year Beginning</t>
  </si>
  <si>
    <t>Future Value Compounded Interest</t>
  </si>
  <si>
    <t>Infrastructure Type</t>
  </si>
  <si>
    <t>Net Project Cost</t>
  </si>
  <si>
    <t>Transportation</t>
  </si>
  <si>
    <t>Description</t>
  </si>
  <si>
    <t>Cumulative total (ha)</t>
  </si>
  <si>
    <t>Cumulative Residential (ha)</t>
  </si>
  <si>
    <t>Cumulative Non-Residential (ha)</t>
  </si>
  <si>
    <t>Transportation Levy</t>
  </si>
  <si>
    <t>25yr Window</t>
  </si>
  <si>
    <t>Benefit to Growth</t>
  </si>
  <si>
    <t>Benefit to Existing</t>
  </si>
  <si>
    <t xml:space="preserve">Benefit </t>
  </si>
  <si>
    <t>Project Costs</t>
  </si>
  <si>
    <t>Growth Share</t>
  </si>
  <si>
    <t>Existing Share</t>
  </si>
  <si>
    <t>Code</t>
  </si>
  <si>
    <t>Name</t>
  </si>
  <si>
    <t>No</t>
  </si>
  <si>
    <t>Yes</t>
  </si>
  <si>
    <t>Oversize Cost Recovery</t>
  </si>
  <si>
    <t>Twinning of 32 Street from North Railway Street to 338 Avenue</t>
  </si>
  <si>
    <t>338 Avenue Expansion from Northridge Drive to Highway 2</t>
  </si>
  <si>
    <t xml:space="preserve"> Northridge Drive and 338 Avenue</t>
  </si>
  <si>
    <t>Twinning 32 Street from Southbank Road to North Railway Street</t>
  </si>
  <si>
    <t>Milligan Drive and 32 Street</t>
  </si>
  <si>
    <t>North Railway Street/32 Street</t>
  </si>
  <si>
    <t>Southbank Road and 32 Street</t>
  </si>
  <si>
    <t>Northridge Drive and Northgate Circle Storm Contribution</t>
  </si>
  <si>
    <t>Road Length (m)</t>
  </si>
  <si>
    <t xml:space="preserve">Plus 10% for onsite stormwater = </t>
  </si>
  <si>
    <t>Financing</t>
  </si>
  <si>
    <t xml:space="preserve">Funding </t>
  </si>
  <si>
    <t>Engineering (15%)</t>
  </si>
  <si>
    <t>Town</t>
  </si>
  <si>
    <t>OSL</t>
  </si>
  <si>
    <t>Assumed Approach to</t>
  </si>
  <si>
    <t>Foothills Share</t>
  </si>
  <si>
    <t xml:space="preserve">OSL </t>
  </si>
  <si>
    <t>Full Cost Collector =</t>
  </si>
  <si>
    <t>Full Arterial Cost (6 lane) =</t>
  </si>
  <si>
    <t>Full Arterial Cost (4 lane) =</t>
  </si>
  <si>
    <t>From 2-lane to 4-lane (3270 metres)</t>
  </si>
  <si>
    <t>From 2-lane to 4-lane (3200 metres)
From 2-lane to 6-lane (1400 metres)</t>
  </si>
  <si>
    <t>338 Ave and 32 Street Intersection Improvements</t>
  </si>
  <si>
    <t xml:space="preserve">Roundabout at the intersection of 338 Ave and 32 Street. </t>
  </si>
  <si>
    <t>Southbound Dual Left Turn</t>
  </si>
  <si>
    <t>From 2-lane to 4-lane (550 metres + 2 bridges)</t>
  </si>
  <si>
    <t>Adding one SBL turn lane + one EBR turn lane</t>
  </si>
  <si>
    <t>Adding one NBL turn lane + one WBL turn lane + acceleration lane for free EB right turn movement</t>
  </si>
  <si>
    <t>Adding one SBL turn lane + acceleration lane for free WB right turn</t>
  </si>
  <si>
    <t>Reduces and Diverts Stormwater Runoff Generated on Northridge Drive on Downstream Users</t>
  </si>
  <si>
    <t>Okotoks Share</t>
  </si>
  <si>
    <t>Benefit to Okotoks</t>
  </si>
  <si>
    <t>Regional Benefit</t>
  </si>
  <si>
    <t>Contingency (%)</t>
  </si>
  <si>
    <t>Cost Deductions (Grants, Local Developer Contributions)</t>
  </si>
  <si>
    <t>c</t>
  </si>
  <si>
    <t>d</t>
  </si>
  <si>
    <t>k</t>
  </si>
  <si>
    <t>Transportation - Oversize</t>
  </si>
  <si>
    <t>Infrastructure Category</t>
  </si>
  <si>
    <t/>
  </si>
  <si>
    <t>Project Stage</t>
  </si>
  <si>
    <t>Conceptual</t>
  </si>
  <si>
    <t>Preliminary Design</t>
  </si>
  <si>
    <t>Detailed Design</t>
  </si>
  <si>
    <t>Tendered</t>
  </si>
  <si>
    <t>Project Costs w/o Contingency ($2024)</t>
  </si>
  <si>
    <t xml:space="preserve">Project Costs </t>
  </si>
  <si>
    <t>Total Project Cost ($2024)</t>
  </si>
  <si>
    <t>Share</t>
  </si>
  <si>
    <t>Oversize</t>
  </si>
  <si>
    <t>Project Costs w/o Contingency ($2022)</t>
  </si>
  <si>
    <t>Transportation - OSL</t>
  </si>
  <si>
    <t>Inflation Rates (%) - Levy Rate</t>
  </si>
  <si>
    <t>25 year window</t>
  </si>
  <si>
    <t>MODEL ASSUMPTIONS</t>
  </si>
  <si>
    <t>Oversizing Assumptions - Unit Price Inputs</t>
  </si>
  <si>
    <t>Total Project Cost ($2022)</t>
  </si>
  <si>
    <t xml:space="preserve">Intersection Improvements - Southridge Drive and HWY 7 </t>
  </si>
  <si>
    <t>Southbound and westbound left lanes, 1 EBT lane, 1 WBT lane, 1 NBT lane and 1 SBT lane inbound and outbound, 1 Left turn bay at EB approach + 1 Left turn bay at SB + acceleration lane for WB free right turn</t>
  </si>
  <si>
    <t>Intersection Improvements - 32 Street and HWY 7</t>
  </si>
  <si>
    <t>Adding acceleration lane for free SB right turn + restriping SB approach from one left + one shared left / through + one right to one left turn lane + one through lane + one right turn lane, Additional EBT and WBT lanes (in and out) + one SBL left turn bay + one WBL turn lane</t>
  </si>
  <si>
    <t>Inflated Project Costs</t>
  </si>
  <si>
    <t>Cumulative</t>
  </si>
  <si>
    <t>Total Project Cost ($2025)</t>
  </si>
  <si>
    <t>Pipe / Road Length (m)</t>
  </si>
  <si>
    <t>Total Project Cost ($2023)</t>
  </si>
  <si>
    <t>Project Costs w/o Contingency ($2025)</t>
  </si>
  <si>
    <t>Benefit to Foothills</t>
  </si>
  <si>
    <t>Regional Share</t>
  </si>
  <si>
    <t>Expenses in 2024 ($2024)</t>
  </si>
  <si>
    <t>Transportation Oversize</t>
  </si>
  <si>
    <t>Annual Employment Growth</t>
  </si>
  <si>
    <t>Annual Residential Hectare Growth (ha)</t>
  </si>
  <si>
    <t>Annual Employment Hectare Growth (ha)</t>
  </si>
  <si>
    <t>Residential Population</t>
  </si>
  <si>
    <t>Total Project Cost ($2026)</t>
  </si>
  <si>
    <t>2026 City of Calgary DA Rates</t>
  </si>
  <si>
    <t>Future/Remaining Project Costs ($2026)</t>
  </si>
  <si>
    <t>Expenses in 2025 ($2025)</t>
  </si>
  <si>
    <t>Debentures</t>
  </si>
  <si>
    <t>Project Constructed and Funded under existing Debenture?</t>
  </si>
  <si>
    <t>Project Expenditures</t>
  </si>
  <si>
    <t>Grants</t>
  </si>
  <si>
    <t>Assumed Grant Value</t>
  </si>
  <si>
    <t>Debenture Principle ($)</t>
  </si>
  <si>
    <t>Expenses in 2023 ($2023)</t>
  </si>
  <si>
    <t>Project Cost in Year of Delivery</t>
  </si>
  <si>
    <t>2026 Project Costs</t>
  </si>
  <si>
    <t>Transportation OSL Project List</t>
  </si>
  <si>
    <t>Transportation OSL Project List - Oversize</t>
  </si>
  <si>
    <t>1-5 Year Window</t>
  </si>
  <si>
    <t>6-10 Year Window</t>
  </si>
  <si>
    <t>16-20 Year Window</t>
  </si>
  <si>
    <t>338 Avenue Expansion from Northridge Drive to Highway 2 - Functional Plan &amp; Detailed Design</t>
  </si>
  <si>
    <t>9A</t>
  </si>
  <si>
    <t>9B</t>
  </si>
  <si>
    <t>21-25 Year Window</t>
  </si>
  <si>
    <t>25 Year Program</t>
  </si>
  <si>
    <t>Baseline population taken from Alberta Dashboard</t>
  </si>
  <si>
    <t>Source: https://regionaldashboard.alberta.ca/region/okotoks/population/#/?from=2021&amp;to=2025</t>
  </si>
  <si>
    <t>Transportation - 25 Year Revolving</t>
  </si>
  <si>
    <t>Cost Recovery Timing</t>
  </si>
  <si>
    <t>Levy Inflation Rate Annually</t>
  </si>
  <si>
    <t>End of 2025 Fund Balances</t>
  </si>
  <si>
    <t xml:space="preserve">Growth-related Expenditures </t>
  </si>
  <si>
    <t>Town Financed</t>
  </si>
  <si>
    <t>Current Levy ($2026)</t>
  </si>
  <si>
    <t>Bank of Canada:</t>
  </si>
  <si>
    <t>Alberta Capital Finance:</t>
  </si>
  <si>
    <t>Trigger Window</t>
  </si>
  <si>
    <t>25+</t>
  </si>
  <si>
    <t>25+ Year Window</t>
  </si>
  <si>
    <t>Off-Site Levy Fund Balances as at December 31, 2025</t>
  </si>
  <si>
    <t>Land Description</t>
  </si>
  <si>
    <t>Development Area (ha)</t>
  </si>
  <si>
    <t>D'Arcy Phase 11 (MR)</t>
  </si>
  <si>
    <t>D'Arcy Phase 14</t>
  </si>
  <si>
    <t>D'Arcy Phase 15</t>
  </si>
  <si>
    <t>Wedderburn Phase 8</t>
  </si>
  <si>
    <t>Debenture Principal Advanced Remaining</t>
  </si>
  <si>
    <t>[6 x 7]</t>
  </si>
  <si>
    <t>[2+3-4-5+8]</t>
  </si>
  <si>
    <t>[9+10+11]</t>
  </si>
  <si>
    <t>Existing Debenture  Payments (Growth Portion Only)</t>
  </si>
  <si>
    <t>Reserve Fund Interest Accural</t>
  </si>
  <si>
    <t>2026 Assumed Agreements Executed</t>
  </si>
  <si>
    <t>Mid 2026
Totals (ha)</t>
  </si>
  <si>
    <t>Annual</t>
  </si>
  <si>
    <t>Burnswest Phase 2</t>
  </si>
  <si>
    <t>Ridgemont Phase 1</t>
  </si>
  <si>
    <t>Tillotson Phase 2</t>
  </si>
  <si>
    <t>D'Arcy Phase 12</t>
  </si>
  <si>
    <t>D'Arcy Phase 18</t>
  </si>
  <si>
    <t>D'Arcy Phase 19</t>
  </si>
  <si>
    <t>Wedderburn Phase 11</t>
  </si>
  <si>
    <t>Inflation Rates (%)</t>
  </si>
  <si>
    <t>Window</t>
  </si>
  <si>
    <t>2025 Agreement Carry-over</t>
  </si>
  <si>
    <t>2026 Agreement Collections (50%)</t>
  </si>
  <si>
    <t>&lt;- 2026 agreements executed are only collected at 50% in year 1</t>
  </si>
  <si>
    <t>2026 Collections</t>
  </si>
  <si>
    <t>2027 Collections</t>
  </si>
  <si>
    <t>HOW TO USE THIS DOCUMENT</t>
  </si>
  <si>
    <t xml:space="preserve">Description </t>
  </si>
  <si>
    <t>Tab Title</t>
  </si>
  <si>
    <t>Oversize Costs</t>
  </si>
  <si>
    <t>2025 OSL Account Detail</t>
  </si>
  <si>
    <t>Total to Date</t>
  </si>
  <si>
    <t>2026 Collections Summary</t>
  </si>
  <si>
    <t xml:space="preserve">2025 Off-Site Levy Fund Balances, Payments, agreements executed, and project expenditures, used to calculate levy fund opening balance at start of 2026 for each infrastructure category. </t>
  </si>
  <si>
    <t xml:space="preserve">2026 Off-Site Levy fund payments collected to date, agreements executed to date, and upcoming agreements to be executed in 2026, used in Cost Recovery Timing tab for remaining 2026 growth projection. </t>
  </si>
  <si>
    <t>Debentures for OSL Model</t>
  </si>
  <si>
    <t xml:space="preserve">Cost Recovery Timing </t>
  </si>
  <si>
    <t>Project List</t>
  </si>
  <si>
    <t xml:space="preserve">Includes all project information including descriptions, timing, allocation of benefit, and costs. </t>
  </si>
  <si>
    <t>25 Year Debenture</t>
  </si>
  <si>
    <t>Assumptions</t>
  </si>
  <si>
    <t>2026 City of Calgary Development Agreement Rates for Sanitary Collection and Transportation utilitzed to calculate improvements beyond local development costs to be recovered through the OSL.</t>
  </si>
  <si>
    <t xml:space="preserve">Population growth table for Okotoks based on Growth Projections from Okotoks Growth Strategy (2025). Cost Recovery approach and contributing hectares varies for each infrastructure category. </t>
  </si>
  <si>
    <t>Assumed Remaining 2026 Growth (June 1, 2026 to December 31, 2026):</t>
  </si>
  <si>
    <t>Assumed Total Contributing Hectares</t>
  </si>
  <si>
    <t>Assumed Annual Growth - Mid 2026 Onwards
(ha)</t>
  </si>
  <si>
    <t>Population and Emploiyment Growth Projections - Based on Okotoks Growth Strategy (2024)</t>
  </si>
  <si>
    <t>Others</t>
  </si>
  <si>
    <t>Front-Ended by Others and Oversize Recovery Eligible</t>
  </si>
  <si>
    <t>Expenses in 2021 ($2021)</t>
  </si>
  <si>
    <t>Rational</t>
  </si>
  <si>
    <t>Based on 5-year Average (2021-2025) - Alberta Capital Finance (25-year debenture)</t>
  </si>
  <si>
    <t>2026 Payments Collected (1st Payment of 2026 Agreements Executed and 2nd Payment of 2025 Agreements Executed)</t>
  </si>
  <si>
    <t>Based on average interest earned on positive fund balances from Town of Okotoks (2021-2025)</t>
  </si>
  <si>
    <t>Interest Earned Rate</t>
  </si>
  <si>
    <t xml:space="preserve">Interest Earned </t>
  </si>
  <si>
    <t xml:space="preserve">Project Cost Inflation - Applied to Future Project Costs - </t>
  </si>
  <si>
    <t>Project Cost Inflation - to bring Project Costs to $2026 (save for Recreation Projects) -</t>
  </si>
  <si>
    <t xml:space="preserve">Project Cost Inflation - to bring Project Costs to $2026 (for Recreation Projects) - </t>
  </si>
  <si>
    <t xml:space="preserve">2026 Payments Collected (2025 Agreements - 2nd Payments) </t>
  </si>
  <si>
    <t>Allocation of Benefit Rationale</t>
  </si>
  <si>
    <t xml:space="preserve">Benefit of transportation infrastructure is allocated based on land in different areas:
- Greenfield Areas that have already paid levies (levied lands). 
- Greenfield Areas that have not yet paid levies (unlevied lands).
- The Established Area
Land equates to population and jobs which impact the transportation network. The utilization of land is a repeatable approach that does not rely on transportation modelling that will continually evolve as land uses, densities and travel patterns adjust over time. Allocation of benefit is based on the assumed buildout of the Town. Given that the transportation projects included in the Off-Site Levy benefit large areas opposed to individual parcels, allocation of benefit is applied network wide and is based on a project's location within the overall network.
 For infrastructure located in the greenfield areas, does not provide improved reliability, quality or service level to the Established Area. As such one hundred percent of the benefit is allocated between levied and unlevied lands in the Greenfield Areas. This allocation is based on the proportion of unlevied lands within the Greenfield Area. Unlevied lands reflect those lands that have not been levied and/or that assumed to be exempt from levies. 
For infrastructure located in the Established Area, that provides benefit to lands outside the Established Area (i.e., Greenfield Area), a shared benefit approach is utilized to allocate benefit. One hundred percent of the benefit is allocated among Greenfield levied, Greenfield unlevied, and Established Area lands. The allocation to growth is based the proportion of unlevied greenfield lands to total town lands.   </t>
  </si>
  <si>
    <t xml:space="preserve">Same as above. </t>
  </si>
  <si>
    <t>338 Avenue Expansion West - Northridge Drive to East of Trilogy B</t>
  </si>
  <si>
    <t>338 Avenue Expansion East - East of Trilogy B to Highway 2</t>
  </si>
  <si>
    <t>338 Ave Roadway Section</t>
  </si>
  <si>
    <t>1-5 year Window</t>
  </si>
  <si>
    <t>11-15 Year Window</t>
  </si>
  <si>
    <t>26+ Year Window</t>
  </si>
  <si>
    <t>Triggered Section Length (m)</t>
  </si>
  <si>
    <t>Oversize Recovery</t>
  </si>
  <si>
    <t>Transportation - Oversize - Projected Cashflow</t>
  </si>
  <si>
    <t>Aniticipated Expenditure</t>
  </si>
  <si>
    <t>Anticipated Annual Revenue Collected</t>
  </si>
  <si>
    <t>Anticipated Cumulative Revenue Collected</t>
  </si>
  <si>
    <t>Anticipated Annual Expenditures Total</t>
  </si>
  <si>
    <t>Anticipated Cumulative Expenditures Total</t>
  </si>
  <si>
    <t>Cumulative Revenue - Cumulative Expenditures</t>
  </si>
  <si>
    <t>Assumed expenditure (inflated annually) based on identified project and cost recovery approach.</t>
  </si>
  <si>
    <t>Row reflects remaining costs to be recovered. Assumes "First In, First Out" approach.</t>
  </si>
  <si>
    <t>Table and Figure Showing Assumed Corridor Improvement Segements and Timing</t>
  </si>
  <si>
    <t>Assumed year project front-ender has fully recovered costs.</t>
  </si>
  <si>
    <t>Assumed Agreements for Remainder of 2026</t>
  </si>
  <si>
    <t>&lt;- Based on received subdivision applications</t>
  </si>
  <si>
    <t>Model Tabs</t>
  </si>
  <si>
    <t xml:space="preserve">The models function by using a goal seek to determine levy rate (cell I28) based on setting the Off-site Levy Fee Reserve Fund Closing Balance (column N) to be zero in the balance year.
Steps:
1. Data tab &gt; What-If Analysis &gt; Goal Seek
2. Set cell: balance year in Column N
    To value: 0
    By changing cell: I28
3. Click OK and accept new results
</t>
  </si>
  <si>
    <t>Construction</t>
  </si>
  <si>
    <t>Low</t>
  </si>
  <si>
    <t>High</t>
  </si>
  <si>
    <t>7C</t>
  </si>
  <si>
    <t xml:space="preserve">Northridge Drive Urbanization Phase 3 </t>
  </si>
  <si>
    <t>Includes urbanization of the west side of Northridge Drive from Sandstone Gate to Spring Gate</t>
  </si>
  <si>
    <t>Project Costs w/o Contingency ($2023)</t>
  </si>
  <si>
    <t>This workbook contains the financial models used to determine the Off-site Levy (OSL) rates as a part of the 2026 Off-site Levy Bylaw update. This financial model uses the latest information and assumptions available at the time of the update.
The following tables describe the tabs contained within this workbook:</t>
  </si>
  <si>
    <t>This tab provides the assumptions that feed into the OSL infrastruture category models including interest &amp; inflation rates, project contingencies, and 2025 OSL Reserve Fund Balances.</t>
  </si>
  <si>
    <t xml:space="preserve">Loan schedules from debt advanced by the Town to finance infrastructure, including annual interest and principle payments. </t>
  </si>
  <si>
    <t>All project costs (Projects 7C and 9A) to end of 2025 have been under the 75/25 cost apportionment per Bylaw 06-23.</t>
  </si>
  <si>
    <t>Oversided Portion</t>
  </si>
  <si>
    <t>Within 2 Years</t>
  </si>
  <si>
    <t>Within 1 Year</t>
  </si>
  <si>
    <t>Upon Execution</t>
  </si>
  <si>
    <t xml:space="preserve">Levy calculated based on "Goal Seek" Function. "Goal Seek" to zero in 2053 to account for 3rd Payment from 2051 growth. </t>
  </si>
  <si>
    <t>OSL Levy Summary</t>
  </si>
  <si>
    <t>Proposed Levy ($2026)</t>
  </si>
  <si>
    <t>Carrying costs are not assumed for infrastructure front-ended by developer</t>
  </si>
  <si>
    <t>Interest Earned - Positive (+)</t>
  </si>
  <si>
    <t>Interest Paid on Debt or Deficit (-) - TOWN FRONT ENDED</t>
  </si>
  <si>
    <t>Interest Paid on Debt or Deficit (-) - DEVELOPER FRONT ENDED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</si>
</sst>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_(&quot;$&quot;* \(#,##0\);_(&quot;$&quot;* &quot;-&quot;_);_(@_)"/>
    <numFmt numFmtId="44" formatCode="_(&quot;$&quot;* #,##0.00_);_(&quot;$&quot;* \(#,##0.00\);_(&quot;$&quot;* &quot;-&quot;??_);_(@_)"/>
    <numFmt numFmtId="43" formatCode="_(* #,##0.00_);_(* \(#,##0.00\);_(* &quot;-&quot;??_);_(@_)"/>
    <numFmt numFmtId="164" formatCode="_-&quot;$&quot;* #,##0_-;\-&quot;$&quot;* #,##0_-;_-&quot;$&quot;* &quot;-&quot;_-;_-@_-"/>
    <numFmt numFmtId="165" formatCode="_-&quot;$&quot;* #,##0.00_-;\-&quot;$&quot;* #,##0.00_-;_-&quot;$&quot;* &quot;-&quot;??_-;_-@_-"/>
    <numFmt numFmtId="166" formatCode="_-* #,##0.00_-;\-* #,##0.00_-;_-* &quot;-&quot;??_-;_-@_-"/>
    <numFmt numFmtId="167" formatCode="_-&quot;$&quot;* #,##0_-;\-&quot;$&quot;* #,##0_-;_-&quot;$&quot;* &quot;-&quot;??_-;_-@_-"/>
    <numFmt numFmtId="168" formatCode="0.0%"/>
    <numFmt numFmtId="169" formatCode="_(* #,##0_);_(* \(#,##0\);_(* &quot;-&quot;??_);_(@_)"/>
    <numFmt numFmtId="170" formatCode="&quot;$&quot;#,##0"/>
    <numFmt numFmtId="171" formatCode="_(&quot;$&quot;* #,##0_);_(&quot;$&quot;* \(#,##0\);_(&quot;$&quot;* &quot;-&quot;??_);_(@_)"/>
    <numFmt numFmtId="172" formatCode="&quot;$&quot;#,##0.00"/>
    <numFmt numFmtId="173" formatCode="_-* #,##0_-;\-* #,##0_-;_-* &quot;-&quot;??_-;_-@_-"/>
    <numFmt numFmtId="174" formatCode="0.000"/>
  </numFmts>
  <fonts count="94">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name val="Calibri"/>
      <family val="2"/>
    </font>
    <font>
      <sz val="11"/>
      <color theme="1"/>
      <name val="Calibri"/>
      <family val="2"/>
      <scheme val="minor"/>
    </font>
    <font>
      <b/>
      <sz val="12"/>
      <name val="Arial"/>
      <family val="2"/>
    </font>
    <font>
      <sz val="10"/>
      <name val="Arial"/>
      <family val="2"/>
    </font>
    <font>
      <b/>
      <sz val="10"/>
      <name val="Arial"/>
      <family val="2"/>
    </font>
    <font>
      <b/>
      <sz val="1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sz val="11"/>
      <color theme="1"/>
      <name val="Calibri"/>
      <family val="2"/>
    </font>
    <font>
      <b/>
      <sz val="11"/>
      <color theme="1"/>
      <name val="Calibri"/>
      <family val="2"/>
      <scheme val="minor"/>
    </font>
    <font>
      <sz val="11"/>
      <name val="Calibri"/>
      <family val="2"/>
      <scheme val="minor"/>
    </font>
    <font>
      <b/>
      <sz val="11"/>
      <color theme="1"/>
      <name val="Calibri"/>
      <family val="2"/>
    </font>
    <font>
      <b/>
      <sz val="11"/>
      <name val="Calibri"/>
      <family val="2"/>
    </font>
    <font>
      <b/>
      <sz val="11"/>
      <color rgb="FF0000FF"/>
      <name val="Calibri"/>
      <family val="2"/>
    </font>
    <font>
      <sz val="10"/>
      <name val="Arial"/>
      <family val="2"/>
    </font>
    <font>
      <sz val="8"/>
      <name val="Arial"/>
      <family val="2"/>
    </font>
    <font>
      <sz val="10"/>
      <name val="Arial"/>
      <family val="2"/>
    </font>
    <font>
      <sz val="8"/>
      <name val="Arial Cyr"/>
      <charset val="204"/>
    </font>
    <font>
      <u/>
      <sz val="11"/>
      <color theme="10"/>
      <name val="Calibri"/>
      <family val="2"/>
    </font>
    <font>
      <b/>
      <sz val="11"/>
      <name val="Calibri"/>
      <family val="2"/>
      <scheme val="minor"/>
    </font>
    <font>
      <sz val="10"/>
      <color theme="1"/>
      <name val="Calibri "/>
    </font>
    <font>
      <b/>
      <sz val="10"/>
      <color theme="1"/>
      <name val="Calibri "/>
    </font>
    <font>
      <sz val="10"/>
      <name val="Calibri"/>
      <family val="1"/>
      <scheme val="minor"/>
    </font>
    <font>
      <sz val="10"/>
      <name val="Arial"/>
      <family val="2"/>
    </font>
    <font>
      <sz val="11"/>
      <color theme="1"/>
      <name val="Agency FB"/>
      <family val="2"/>
    </font>
    <font>
      <sz val="11"/>
      <color rgb="FF3F3F76"/>
      <name val="Agency FB"/>
      <family val="2"/>
    </font>
    <font>
      <b/>
      <sz val="11"/>
      <color rgb="FFFA7D00"/>
      <name val="Agency FB"/>
      <family val="2"/>
    </font>
    <font>
      <b/>
      <i/>
      <sz val="11"/>
      <name val="Calibri"/>
      <family val="2"/>
      <scheme val="minor"/>
    </font>
    <font>
      <b/>
      <sz val="11"/>
      <color rgb="FFFF0000"/>
      <name val="Calibri"/>
      <family val="2"/>
      <scheme val="minor"/>
    </font>
    <font>
      <sz val="12"/>
      <color theme="1"/>
      <name val="Calibri"/>
      <family val="2"/>
      <scheme val="minor"/>
    </font>
    <font>
      <sz val="10"/>
      <color theme="1"/>
      <name val="Calibri"/>
      <family val="2"/>
      <scheme val="minor"/>
    </font>
    <font>
      <b/>
      <sz val="8"/>
      <color theme="1"/>
      <name val="Montserrat Medium"/>
    </font>
    <font>
      <sz val="8"/>
      <color theme="1"/>
      <name val="Montserrat Medium"/>
    </font>
    <font>
      <u/>
      <sz val="10"/>
      <color theme="10"/>
      <name val="Arial"/>
      <family val="2"/>
    </font>
    <font>
      <b/>
      <sz val="16"/>
      <color theme="1"/>
      <name val="Montserrat Medium"/>
    </font>
    <font>
      <u/>
      <sz val="11"/>
      <color theme="4"/>
      <name val="Calibri"/>
      <family val="2"/>
    </font>
    <font>
      <b/>
      <u/>
      <sz val="11"/>
      <color theme="4"/>
      <name val="Calibri"/>
      <family val="2"/>
    </font>
    <font>
      <sz val="11"/>
      <color rgb="FF0066FF"/>
      <name val="Calibri"/>
      <family val="2"/>
    </font>
    <font>
      <b/>
      <u val="singleAccounting"/>
      <sz val="11"/>
      <color theme="4"/>
      <name val="Calibri"/>
      <family val="2"/>
    </font>
    <font>
      <sz val="11"/>
      <name val="Calibri"/>
      <family val="2"/>
    </font>
    <font>
      <sz val="11"/>
      <name val="Calibri"/>
      <family val="2"/>
      <scheme val="minor"/>
    </font>
    <font>
      <b/>
      <sz val="12"/>
      <color theme="1"/>
      <name val="Calibri "/>
    </font>
    <font>
      <sz val="11"/>
      <name val="Calibri"/>
      <family val="2"/>
    </font>
    <font>
      <sz val="11"/>
      <name val="Calibri"/>
      <family val="2"/>
      <scheme val="minor"/>
    </font>
    <font>
      <sz val="9"/>
      <color theme="1"/>
      <name val="Calibri"/>
      <family val="2"/>
      <scheme val="minor"/>
    </font>
    <font>
      <sz val="11"/>
      <color theme="0" tint="-0.34998626667073579"/>
      <name val="Calibri"/>
      <family val="2"/>
      <scheme val="minor"/>
    </font>
    <font>
      <sz val="10"/>
      <color theme="0" tint="-0.34998626667073579"/>
      <name val="Calibri "/>
    </font>
    <font>
      <u/>
      <sz val="11"/>
      <color theme="10"/>
      <name val="Calibri"/>
      <family val="2"/>
      <scheme val="minor"/>
    </font>
    <font>
      <sz val="11"/>
      <color theme="1"/>
      <name val="Segoe UI"/>
      <family val="2"/>
    </font>
    <font>
      <b/>
      <sz val="11"/>
      <color rgb="FF000000"/>
      <name val="Segoe UI"/>
      <family val="2"/>
    </font>
    <font>
      <b/>
      <u val="singleAccounting"/>
      <sz val="11"/>
      <color rgb="FFFF0000"/>
      <name val="Calibri"/>
      <family val="2"/>
    </font>
    <font>
      <sz val="8"/>
      <name val="Calibri"/>
      <family val="2"/>
      <scheme val="minor"/>
    </font>
    <font>
      <sz val="9"/>
      <color theme="1"/>
      <name val="Arial"/>
      <family val="2"/>
    </font>
    <font>
      <b/>
      <sz val="14"/>
      <color theme="1"/>
      <name val="Montserrat"/>
    </font>
    <font>
      <b/>
      <sz val="11"/>
      <color rgb="FF000000"/>
      <name val="Montserrat Medium"/>
    </font>
    <font>
      <sz val="11"/>
      <color theme="1"/>
      <name val="Montserrat Medium"/>
    </font>
    <font>
      <b/>
      <sz val="11"/>
      <color theme="1"/>
      <name val="Montserrat Medium"/>
    </font>
    <font>
      <b/>
      <sz val="11"/>
      <name val="Montserrat Medium"/>
    </font>
    <font>
      <b/>
      <sz val="9"/>
      <color theme="1"/>
      <name val="Montserrat Medium"/>
    </font>
    <font>
      <sz val="10"/>
      <name val="Montserrat Medium"/>
    </font>
    <font>
      <sz val="11"/>
      <name val="Montserrat Medium"/>
    </font>
    <font>
      <sz val="10"/>
      <color theme="1"/>
      <name val="Montserrat Medium"/>
    </font>
    <font>
      <sz val="9"/>
      <color theme="1"/>
      <name val="Montserrat"/>
    </font>
    <font>
      <b/>
      <sz val="9"/>
      <color theme="1"/>
      <name val="Montserrat"/>
    </font>
    <font>
      <b/>
      <sz val="10"/>
      <color theme="1"/>
      <name val="Montserrat Medium"/>
    </font>
    <font>
      <sz val="9"/>
      <color theme="1"/>
      <name val="Montserrat Medium"/>
    </font>
    <font>
      <sz val="11"/>
      <color theme="1"/>
      <name val="Montserrat"/>
    </font>
    <font>
      <b/>
      <sz val="11"/>
      <color theme="1"/>
      <name val="Montserrat"/>
    </font>
    <font>
      <sz val="11"/>
      <name val="Montserrat"/>
    </font>
    <font>
      <b/>
      <u/>
      <sz val="10"/>
      <color rgb="FF000000"/>
      <name val="Montserrat"/>
    </font>
    <font>
      <b/>
      <sz val="10"/>
      <color rgb="FF000000"/>
      <name val="Montserrat"/>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0"/>
        <bgColor indexed="64"/>
      </patternFill>
    </fill>
    <fill>
      <patternFill patternType="solid">
        <fgColor indexed="9"/>
        <bgColor indexed="9"/>
      </patternFill>
    </fill>
    <fill>
      <patternFill patternType="solid">
        <fgColor theme="0" tint="-0.14999847407452621"/>
        <bgColor indexed="64"/>
      </patternFill>
    </fill>
    <fill>
      <patternFill patternType="solid">
        <fgColor rgb="FF00B0F0"/>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rgb="FFFFCC99"/>
      </patternFill>
    </fill>
    <fill>
      <patternFill patternType="solid">
        <fgColor rgb="FFF2F2F2"/>
      </patternFill>
    </fill>
    <fill>
      <patternFill patternType="solid">
        <fgColor theme="6" tint="0.79998168889431442"/>
        <bgColor theme="6" tint="0.79998168889431442"/>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5" tint="0.79998168889431442"/>
        <bgColor indexed="64"/>
      </patternFill>
    </fill>
    <fill>
      <patternFill patternType="solid">
        <fgColor rgb="FFFFE699"/>
        <bgColor rgb="FF000000"/>
      </patternFill>
    </fill>
    <fill>
      <patternFill patternType="solid">
        <fgColor theme="6" tint="0.79998168889431442"/>
        <bgColor indexed="64"/>
      </patternFill>
    </fill>
    <fill>
      <patternFill patternType="solid">
        <fgColor indexed="22"/>
        <bgColor indexed="64"/>
      </patternFill>
    </fill>
    <fill>
      <patternFill patternType="solid">
        <fgColor rgb="FFFFE699"/>
        <bgColor indexed="64"/>
      </patternFill>
    </fill>
    <fill>
      <patternFill patternType="solid">
        <fgColor theme="7" tint="0.79998168889431442"/>
        <bgColor rgb="FF000000"/>
      </patternFill>
    </fill>
    <fill>
      <patternFill patternType="solid">
        <fgColor theme="7" tint="0.79998168889431442"/>
        <bgColor rgb="FFDDEBF7"/>
      </patternFill>
    </fill>
    <fill>
      <patternFill patternType="solid">
        <fgColor rgb="FFFF9999"/>
        <bgColor indexed="64"/>
      </patternFill>
    </fill>
    <fill>
      <patternFill patternType="solid">
        <fgColor rgb="FFF4F298"/>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theme="7"/>
        <bgColor indexed="64"/>
      </patternFill>
    </fill>
    <fill>
      <patternFill patternType="solid">
        <fgColor rgb="FFDECBDF"/>
        <bgColor indexed="64"/>
      </patternFill>
    </fill>
    <fill>
      <patternFill patternType="solid">
        <fgColor theme="0" tint="-4.9989318521683403E-2"/>
        <bgColor indexed="64"/>
      </patternFill>
    </fill>
  </fills>
  <borders count="90">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double">
        <color auto="1"/>
      </top>
      <bottom style="medium">
        <color auto="1"/>
      </bottom>
      <diagonal/>
    </border>
    <border>
      <left style="thin">
        <color auto="1"/>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double">
        <color indexed="63"/>
      </left>
      <right style="double">
        <color indexed="63"/>
      </right>
      <top style="double">
        <color indexed="63"/>
      </top>
      <bottom style="double">
        <color indexed="63"/>
      </bottom>
      <diagonal/>
    </border>
    <border>
      <left style="thin">
        <color indexed="64"/>
      </left>
      <right/>
      <top style="thin">
        <color indexed="64"/>
      </top>
      <bottom/>
      <diagonal/>
    </border>
    <border>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bottom style="double">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s>
  <cellStyleXfs count="241">
    <xf numFmtId="0" fontId="0" fillId="0" borderId="0"/>
    <xf numFmtId="165" fontId="9" fillId="0" borderId="0" applyFont="0" applyFill="0" applyBorder="0" applyAlignment="0" applyProtection="0"/>
    <xf numFmtId="0" fontId="11"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9" applyNumberFormat="0" applyAlignment="0" applyProtection="0"/>
    <xf numFmtId="0" fontId="18" fillId="21" borderId="10" applyNumberFormat="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0" borderId="11" applyNumberFormat="0" applyFill="0" applyAlignment="0" applyProtection="0"/>
    <xf numFmtId="0" fontId="22" fillId="0" borderId="12" applyNumberFormat="0" applyFill="0" applyAlignment="0" applyProtection="0"/>
    <xf numFmtId="0" fontId="23" fillId="0" borderId="13" applyNumberFormat="0" applyFill="0" applyAlignment="0" applyProtection="0"/>
    <xf numFmtId="0" fontId="23" fillId="0" borderId="0" applyNumberFormat="0" applyFill="0" applyBorder="0" applyAlignment="0" applyProtection="0"/>
    <xf numFmtId="0" fontId="24" fillId="7" borderId="9" applyNumberFormat="0" applyAlignment="0" applyProtection="0"/>
    <xf numFmtId="0" fontId="25" fillId="0" borderId="14" applyNumberFormat="0" applyFill="0" applyAlignment="0" applyProtection="0"/>
    <xf numFmtId="0" fontId="26" fillId="22" borderId="0" applyNumberFormat="0" applyBorder="0" applyAlignment="0" applyProtection="0"/>
    <xf numFmtId="0" fontId="11" fillId="0" borderId="0"/>
    <xf numFmtId="0" fontId="11" fillId="23" borderId="15" applyNumberFormat="0" applyFont="0" applyAlignment="0" applyProtection="0"/>
    <xf numFmtId="0" fontId="27" fillId="20" borderId="16"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28" fillId="0" borderId="0" applyNumberFormat="0" applyFill="0" applyBorder="0" applyAlignment="0" applyProtection="0"/>
    <xf numFmtId="0" fontId="29" fillId="0" borderId="17" applyNumberFormat="0" applyFill="0" applyAlignment="0" applyProtection="0"/>
    <xf numFmtId="0" fontId="30" fillId="0" borderId="0" applyNumberForma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37" fillId="0" borderId="0"/>
    <xf numFmtId="9" fontId="37" fillId="0" borderId="0" applyFont="0" applyFill="0" applyBorder="0" applyAlignment="0" applyProtection="0"/>
    <xf numFmtId="10" fontId="38" fillId="28" borderId="0" applyFont="0" applyFill="0" applyBorder="0" applyAlignment="0" applyProtection="0"/>
    <xf numFmtId="166" fontId="37" fillId="0" borderId="0" applyFont="0" applyFill="0" applyBorder="0" applyAlignment="0" applyProtection="0"/>
    <xf numFmtId="165" fontId="37" fillId="0" borderId="0" applyFont="0" applyFill="0" applyBorder="0" applyAlignment="0" applyProtection="0"/>
    <xf numFmtId="0" fontId="39" fillId="0" borderId="0"/>
    <xf numFmtId="166" fontId="39" fillId="0" borderId="0" applyFont="0" applyFill="0" applyBorder="0" applyAlignment="0" applyProtection="0"/>
    <xf numFmtId="165" fontId="39" fillId="0" borderId="0" applyFont="0" applyFill="0" applyBorder="0" applyAlignment="0" applyProtection="0"/>
    <xf numFmtId="9" fontId="39"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39" fillId="0" borderId="0" applyFont="0" applyFill="0" applyBorder="0" applyAlignment="0" applyProtection="0"/>
    <xf numFmtId="165" fontId="39" fillId="0" borderId="0" applyFont="0" applyFill="0" applyBorder="0" applyAlignment="0" applyProtection="0"/>
    <xf numFmtId="9" fontId="9" fillId="0" borderId="0" applyFont="0" applyFill="0" applyBorder="0" applyAlignment="0" applyProtection="0"/>
    <xf numFmtId="0" fontId="40" fillId="0" borderId="0"/>
    <xf numFmtId="9" fontId="40"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0" fontId="41" fillId="0" borderId="0" applyNumberFormat="0" applyFill="0" applyBorder="0" applyAlignment="0" applyProtection="0">
      <alignment vertical="top"/>
      <protection locked="0"/>
    </xf>
    <xf numFmtId="0" fontId="9" fillId="0" borderId="0"/>
    <xf numFmtId="166" fontId="9" fillId="0" borderId="0" applyFont="0" applyFill="0" applyBorder="0" applyAlignment="0" applyProtection="0"/>
    <xf numFmtId="9" fontId="9" fillId="0" borderId="0" applyFont="0" applyFill="0" applyBorder="0" applyAlignment="0" applyProtection="0"/>
    <xf numFmtId="165" fontId="9" fillId="0" borderId="0" applyFont="0" applyFill="0" applyBorder="0" applyAlignment="0" applyProtection="0"/>
    <xf numFmtId="0" fontId="11" fillId="0" borderId="0"/>
    <xf numFmtId="166" fontId="9" fillId="0" borderId="0" applyFont="0" applyFill="0" applyBorder="0" applyAlignment="0" applyProtection="0"/>
    <xf numFmtId="165" fontId="9" fillId="0" borderId="0" applyFont="0" applyFill="0" applyBorder="0" applyAlignment="0" applyProtection="0"/>
    <xf numFmtId="0" fontId="11" fillId="0" borderId="0"/>
    <xf numFmtId="166" fontId="11" fillId="0" borderId="0" applyFont="0" applyFill="0" applyBorder="0" applyAlignment="0" applyProtection="0"/>
    <xf numFmtId="0" fontId="9" fillId="0" borderId="0"/>
    <xf numFmtId="165" fontId="9" fillId="0" borderId="0" applyFont="0" applyFill="0" applyBorder="0" applyAlignment="0" applyProtection="0"/>
    <xf numFmtId="0" fontId="18" fillId="21" borderId="39" applyNumberFormat="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0" fontId="11" fillId="0" borderId="0"/>
    <xf numFmtId="166" fontId="11" fillId="0" borderId="0" applyFont="0" applyFill="0" applyBorder="0" applyAlignment="0" applyProtection="0"/>
    <xf numFmtId="165" fontId="11" fillId="0" borderId="0" applyFont="0" applyFill="0" applyBorder="0" applyAlignment="0" applyProtection="0"/>
    <xf numFmtId="9" fontId="11"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0" fontId="7" fillId="0" borderId="0"/>
    <xf numFmtId="0" fontId="6" fillId="0" borderId="0"/>
    <xf numFmtId="0" fontId="6" fillId="0" borderId="0"/>
    <xf numFmtId="0" fontId="5" fillId="0" borderId="0"/>
    <xf numFmtId="0" fontId="4" fillId="0" borderId="0"/>
    <xf numFmtId="0" fontId="45" fillId="0" borderId="0"/>
    <xf numFmtId="44" fontId="46" fillId="0" borderId="0" applyFont="0" applyFill="0" applyBorder="0" applyAlignment="0" applyProtection="0"/>
    <xf numFmtId="0" fontId="47" fillId="35" borderId="0" applyNumberFormat="0" applyBorder="0" applyAlignment="0" applyProtection="0"/>
    <xf numFmtId="0" fontId="48" fillId="33" borderId="59" applyNumberFormat="0" applyAlignment="0" applyProtection="0"/>
    <xf numFmtId="0" fontId="49" fillId="34" borderId="59" applyNumberFormat="0" applyAlignment="0" applyProtection="0"/>
    <xf numFmtId="0" fontId="46" fillId="0" borderId="0"/>
    <xf numFmtId="43" fontId="11"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165" fontId="46" fillId="0" borderId="0" applyFont="0" applyFill="0" applyBorder="0" applyAlignment="0" applyProtection="0"/>
    <xf numFmtId="166" fontId="11" fillId="0" borderId="0" applyFont="0" applyFill="0" applyBorder="0" applyAlignment="0" applyProtection="0"/>
    <xf numFmtId="44" fontId="9" fillId="0" borderId="0" applyFont="0" applyFill="0" applyBorder="0" applyAlignment="0" applyProtection="0"/>
    <xf numFmtId="165" fontId="9"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0" fontId="56" fillId="0" borderId="0" applyNumberFormat="0" applyFill="0" applyBorder="0" applyAlignment="0" applyProtection="0"/>
    <xf numFmtId="0" fontId="11" fillId="0" borderId="0"/>
    <xf numFmtId="9" fontId="11" fillId="0" borderId="0" applyFont="0" applyFill="0" applyBorder="0" applyAlignment="0" applyProtection="0"/>
    <xf numFmtId="43" fontId="9"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52" fillId="0" borderId="0"/>
    <xf numFmtId="43" fontId="52" fillId="0" borderId="0" applyFont="0" applyFill="0" applyBorder="0" applyAlignment="0" applyProtection="0"/>
    <xf numFmtId="0" fontId="70" fillId="0" borderId="0" applyNumberFormat="0" applyFill="0" applyBorder="0" applyAlignment="0" applyProtection="0"/>
    <xf numFmtId="0" fontId="11" fillId="0" borderId="0"/>
    <xf numFmtId="0" fontId="38" fillId="44" borderId="0">
      <alignment horizontal="left" indent="6"/>
    </xf>
    <xf numFmtId="166" fontId="11" fillId="0" borderId="0" applyFont="0" applyFill="0" applyBorder="0" applyAlignment="0" applyProtection="0"/>
    <xf numFmtId="9" fontId="11" fillId="0" borderId="0" applyFont="0" applyFill="0" applyBorder="0" applyAlignment="0" applyProtection="0"/>
    <xf numFmtId="0" fontId="11" fillId="0" borderId="0"/>
    <xf numFmtId="166" fontId="9" fillId="0" borderId="0" applyFont="0" applyFill="0" applyBorder="0" applyAlignment="0" applyProtection="0"/>
  </cellStyleXfs>
  <cellXfs count="732">
    <xf numFmtId="0" fontId="0" fillId="0" borderId="0" xfId="0"/>
    <xf numFmtId="0" fontId="0" fillId="0" borderId="0" xfId="0" applyAlignment="1">
      <alignment horizontal="right"/>
    </xf>
    <xf numFmtId="0" fontId="10" fillId="0" borderId="0" xfId="0" applyFont="1"/>
    <xf numFmtId="0" fontId="0" fillId="0" borderId="0" xfId="0" applyAlignment="1">
      <alignment horizontal="center"/>
    </xf>
    <xf numFmtId="165" fontId="0" fillId="0" borderId="0" xfId="0" applyNumberFormat="1"/>
    <xf numFmtId="0" fontId="13" fillId="25" borderId="7" xfId="0" quotePrefix="1" applyFont="1" applyFill="1" applyBorder="1" applyAlignment="1">
      <alignment horizontal="center" vertical="center"/>
    </xf>
    <xf numFmtId="0" fontId="31" fillId="25" borderId="19" xfId="0" applyFont="1" applyFill="1" applyBorder="1"/>
    <xf numFmtId="167" fontId="34" fillId="25" borderId="19" xfId="1" applyNumberFormat="1" applyFont="1" applyFill="1" applyBorder="1"/>
    <xf numFmtId="0" fontId="12" fillId="25" borderId="26" xfId="0" applyFont="1" applyFill="1" applyBorder="1" applyAlignment="1" applyProtection="1">
      <alignment horizontal="center" vertical="center" wrapText="1"/>
      <protection locked="0"/>
    </xf>
    <xf numFmtId="0" fontId="12" fillId="25" borderId="27" xfId="0" applyFont="1" applyFill="1" applyBorder="1" applyAlignment="1" applyProtection="1">
      <alignment horizontal="center" vertical="center" wrapText="1"/>
      <protection locked="0"/>
    </xf>
    <xf numFmtId="165" fontId="0" fillId="0" borderId="0" xfId="0" applyNumberFormat="1" applyAlignment="1">
      <alignment horizontal="right"/>
    </xf>
    <xf numFmtId="0" fontId="12" fillId="25" borderId="27" xfId="0" applyFont="1" applyFill="1" applyBorder="1" applyAlignment="1" applyProtection="1">
      <alignment horizontal="right" vertical="center" wrapText="1"/>
      <protection locked="0"/>
    </xf>
    <xf numFmtId="167" fontId="34" fillId="25" borderId="19" xfId="1" applyNumberFormat="1" applyFont="1" applyFill="1" applyBorder="1" applyAlignment="1">
      <alignment horizontal="right"/>
    </xf>
    <xf numFmtId="0" fontId="9" fillId="0" borderId="0" xfId="87"/>
    <xf numFmtId="0" fontId="32" fillId="0" borderId="0" xfId="0" applyFont="1"/>
    <xf numFmtId="0" fontId="0" fillId="0" borderId="0" xfId="87" applyFont="1"/>
    <xf numFmtId="0" fontId="10" fillId="0" borderId="0" xfId="0" applyFont="1" applyAlignment="1">
      <alignment horizontal="center"/>
    </xf>
    <xf numFmtId="0" fontId="35" fillId="26" borderId="3" xfId="0" applyFont="1" applyFill="1" applyBorder="1" applyAlignment="1">
      <alignment horizontal="center"/>
    </xf>
    <xf numFmtId="0" fontId="35" fillId="26" borderId="29" xfId="0" applyFont="1" applyFill="1" applyBorder="1" applyAlignment="1">
      <alignment horizontal="center"/>
    </xf>
    <xf numFmtId="0" fontId="35" fillId="26" borderId="1" xfId="0" applyFont="1" applyFill="1" applyBorder="1" applyAlignment="1">
      <alignment horizontal="center"/>
    </xf>
    <xf numFmtId="0" fontId="35" fillId="26" borderId="2" xfId="0" applyFont="1" applyFill="1" applyBorder="1" applyAlignment="1">
      <alignment horizontal="center"/>
    </xf>
    <xf numFmtId="0" fontId="35" fillId="26" borderId="4" xfId="0" applyFont="1" applyFill="1" applyBorder="1" applyAlignment="1">
      <alignment horizontal="center"/>
    </xf>
    <xf numFmtId="0" fontId="35" fillId="26" borderId="5" xfId="0" applyFont="1" applyFill="1" applyBorder="1" applyAlignment="1">
      <alignment horizontal="center"/>
    </xf>
    <xf numFmtId="42" fontId="35" fillId="26" borderId="5" xfId="55" applyNumberFormat="1" applyFont="1" applyFill="1" applyBorder="1" applyAlignment="1">
      <alignment horizontal="center"/>
    </xf>
    <xf numFmtId="42" fontId="35" fillId="30" borderId="5" xfId="55" applyNumberFormat="1" applyFont="1" applyFill="1" applyBorder="1" applyAlignment="1">
      <alignment horizontal="center"/>
    </xf>
    <xf numFmtId="0" fontId="35" fillId="26" borderId="42" xfId="0" applyFont="1" applyFill="1" applyBorder="1" applyAlignment="1">
      <alignment horizontal="center"/>
    </xf>
    <xf numFmtId="0" fontId="35" fillId="26" borderId="43" xfId="0" applyFont="1" applyFill="1" applyBorder="1" applyAlignment="1">
      <alignment horizontal="center"/>
    </xf>
    <xf numFmtId="0" fontId="35" fillId="26" borderId="28" xfId="0" applyFont="1" applyFill="1" applyBorder="1" applyAlignment="1">
      <alignment horizontal="center"/>
    </xf>
    <xf numFmtId="165" fontId="0" fillId="26" borderId="6" xfId="0" applyNumberFormat="1" applyFill="1" applyBorder="1" applyAlignment="1">
      <alignment horizontal="center" vertical="center"/>
    </xf>
    <xf numFmtId="165" fontId="11" fillId="0" borderId="0" xfId="1" applyFont="1" applyFill="1" applyBorder="1" applyAlignment="1" applyProtection="1">
      <alignment vertical="center" wrapText="1"/>
    </xf>
    <xf numFmtId="165" fontId="11" fillId="0" borderId="0" xfId="1" applyFont="1" applyFill="1" applyBorder="1" applyAlignment="1" applyProtection="1">
      <alignment horizontal="center" vertical="center" wrapText="1"/>
    </xf>
    <xf numFmtId="165" fontId="12" fillId="0" borderId="0" xfId="1" applyFont="1" applyFill="1" applyBorder="1" applyAlignment="1" applyProtection="1">
      <alignment vertical="center" wrapText="1"/>
    </xf>
    <xf numFmtId="0" fontId="0" fillId="0" borderId="0" xfId="0" applyAlignment="1">
      <alignment horizontal="center" vertical="center"/>
    </xf>
    <xf numFmtId="165" fontId="0" fillId="26" borderId="36" xfId="0" applyNumberFormat="1" applyFill="1" applyBorder="1" applyAlignment="1">
      <alignment horizontal="center" vertical="center"/>
    </xf>
    <xf numFmtId="0" fontId="12" fillId="25" borderId="44" xfId="0" applyFont="1" applyFill="1" applyBorder="1" applyAlignment="1" applyProtection="1">
      <alignment horizontal="center" vertical="center" wrapText="1"/>
      <protection locked="0"/>
    </xf>
    <xf numFmtId="0" fontId="0" fillId="25" borderId="28" xfId="0" applyFill="1" applyBorder="1"/>
    <xf numFmtId="0" fontId="0" fillId="25" borderId="0" xfId="0" applyFill="1" applyAlignment="1">
      <alignment horizontal="center" vertical="center"/>
    </xf>
    <xf numFmtId="0" fontId="0" fillId="25" borderId="22" xfId="0" applyFill="1" applyBorder="1"/>
    <xf numFmtId="0" fontId="32" fillId="25" borderId="22" xfId="0" applyFont="1" applyFill="1" applyBorder="1" applyAlignment="1">
      <alignment horizontal="right"/>
    </xf>
    <xf numFmtId="0" fontId="0" fillId="25" borderId="33" xfId="0" applyFill="1" applyBorder="1"/>
    <xf numFmtId="170" fontId="0" fillId="25" borderId="0" xfId="1" applyNumberFormat="1" applyFont="1" applyFill="1" applyBorder="1" applyAlignment="1">
      <alignment vertical="center"/>
    </xf>
    <xf numFmtId="167" fontId="43" fillId="0" borderId="0" xfId="1" applyNumberFormat="1" applyFont="1" applyFill="1" applyBorder="1"/>
    <xf numFmtId="165" fontId="12" fillId="26" borderId="2" xfId="0" applyNumberFormat="1" applyFont="1" applyFill="1" applyBorder="1" applyAlignment="1">
      <alignment horizontal="center" vertical="center" wrapText="1"/>
    </xf>
    <xf numFmtId="165" fontId="12" fillId="26" borderId="5" xfId="0" applyNumberFormat="1" applyFont="1" applyFill="1" applyBorder="1" applyAlignment="1">
      <alignment horizontal="center" vertical="center" wrapText="1"/>
    </xf>
    <xf numFmtId="171" fontId="0" fillId="0" borderId="0" xfId="0" applyNumberFormat="1"/>
    <xf numFmtId="0" fontId="0" fillId="29" borderId="0" xfId="0" applyFill="1"/>
    <xf numFmtId="0" fontId="13" fillId="25" borderId="41" xfId="0" quotePrefix="1" applyFont="1" applyFill="1" applyBorder="1" applyAlignment="1">
      <alignment horizontal="center" vertical="center"/>
    </xf>
    <xf numFmtId="0" fontId="13" fillId="25" borderId="41" xfId="0" quotePrefix="1" applyFont="1" applyFill="1" applyBorder="1" applyAlignment="1">
      <alignment horizontal="right"/>
    </xf>
    <xf numFmtId="0" fontId="0" fillId="25" borderId="41" xfId="0" applyFill="1" applyBorder="1"/>
    <xf numFmtId="0" fontId="8" fillId="26" borderId="29" xfId="0" applyFont="1" applyFill="1" applyBorder="1" applyAlignment="1">
      <alignment horizontal="center"/>
    </xf>
    <xf numFmtId="0" fontId="35" fillId="26" borderId="5" xfId="0" applyFont="1" applyFill="1" applyBorder="1" applyAlignment="1">
      <alignment horizontal="center" vertical="top" wrapText="1"/>
    </xf>
    <xf numFmtId="10" fontId="10" fillId="0" borderId="0" xfId="0" applyNumberFormat="1" applyFont="1" applyAlignment="1">
      <alignment horizontal="center"/>
    </xf>
    <xf numFmtId="0" fontId="32" fillId="29" borderId="18" xfId="0" applyFont="1" applyFill="1" applyBorder="1"/>
    <xf numFmtId="0" fontId="43" fillId="0" borderId="0" xfId="0" applyFont="1"/>
    <xf numFmtId="0" fontId="33" fillId="0" borderId="0" xfId="87" applyFont="1"/>
    <xf numFmtId="0" fontId="33" fillId="0" borderId="18" xfId="87" applyFont="1" applyBorder="1" applyAlignment="1">
      <alignment horizontal="center" vertical="center" wrapText="1"/>
    </xf>
    <xf numFmtId="2" fontId="33" fillId="0" borderId="18" xfId="87" applyNumberFormat="1" applyFont="1" applyBorder="1" applyAlignment="1">
      <alignment horizontal="center" vertical="center"/>
    </xf>
    <xf numFmtId="0" fontId="33" fillId="0" borderId="0" xfId="87" applyFont="1" applyAlignment="1">
      <alignment horizontal="center"/>
    </xf>
    <xf numFmtId="0" fontId="53" fillId="0" borderId="0" xfId="0" applyFont="1"/>
    <xf numFmtId="169" fontId="9" fillId="0" borderId="0" xfId="87" applyNumberFormat="1"/>
    <xf numFmtId="0" fontId="54" fillId="0" borderId="0" xfId="220" applyFont="1"/>
    <xf numFmtId="0" fontId="55" fillId="0" borderId="0" xfId="220" applyFont="1"/>
    <xf numFmtId="0" fontId="55" fillId="0" borderId="0" xfId="220" applyFont="1" applyAlignment="1">
      <alignment horizontal="center"/>
    </xf>
    <xf numFmtId="0" fontId="55" fillId="0" borderId="0" xfId="220" quotePrefix="1" applyFont="1"/>
    <xf numFmtId="0" fontId="55" fillId="0" borderId="0" xfId="220" applyFont="1" applyAlignment="1">
      <alignment horizontal="center" vertical="center"/>
    </xf>
    <xf numFmtId="0" fontId="55" fillId="0" borderId="0" xfId="220" applyFont="1" applyAlignment="1">
      <alignment horizontal="left" vertical="center"/>
    </xf>
    <xf numFmtId="0" fontId="55" fillId="0" borderId="0" xfId="220" applyFont="1" applyAlignment="1">
      <alignment horizontal="right"/>
    </xf>
    <xf numFmtId="165" fontId="55" fillId="0" borderId="0" xfId="1" applyFont="1"/>
    <xf numFmtId="0" fontId="55" fillId="0" borderId="66" xfId="220" applyFont="1" applyBorder="1" applyAlignment="1">
      <alignment horizontal="center" vertical="center"/>
    </xf>
    <xf numFmtId="0" fontId="55" fillId="0" borderId="66" xfId="220" applyFont="1" applyBorder="1" applyAlignment="1">
      <alignment horizontal="left" vertical="center"/>
    </xf>
    <xf numFmtId="0" fontId="54" fillId="0" borderId="0" xfId="220" applyFont="1" applyAlignment="1">
      <alignment horizontal="center" vertical="center"/>
    </xf>
    <xf numFmtId="0" fontId="54" fillId="0" borderId="0" xfId="220" applyFont="1" applyAlignment="1">
      <alignment horizontal="left" vertical="center"/>
    </xf>
    <xf numFmtId="0" fontId="54" fillId="0" borderId="0" xfId="220" applyFont="1" applyAlignment="1">
      <alignment horizontal="center" vertical="center" wrapText="1"/>
    </xf>
    <xf numFmtId="0" fontId="55" fillId="0" borderId="0" xfId="1" applyNumberFormat="1" applyFont="1"/>
    <xf numFmtId="0" fontId="35" fillId="26" borderId="4" xfId="0" applyFont="1" applyFill="1" applyBorder="1" applyAlignment="1">
      <alignment horizontal="center" wrapText="1"/>
    </xf>
    <xf numFmtId="0" fontId="57" fillId="0" borderId="0" xfId="220" applyFont="1"/>
    <xf numFmtId="170" fontId="55" fillId="0" borderId="0" xfId="222" applyNumberFormat="1" applyFont="1" applyBorder="1" applyAlignment="1">
      <alignment horizontal="center" vertical="center"/>
    </xf>
    <xf numFmtId="170" fontId="55" fillId="0" borderId="0" xfId="220" applyNumberFormat="1" applyFont="1" applyAlignment="1">
      <alignment horizontal="center" vertical="center"/>
    </xf>
    <xf numFmtId="170" fontId="55" fillId="0" borderId="0" xfId="222" applyNumberFormat="1" applyFont="1" applyFill="1" applyBorder="1" applyAlignment="1">
      <alignment horizontal="center" vertical="center"/>
    </xf>
    <xf numFmtId="170" fontId="55" fillId="0" borderId="0" xfId="222" applyNumberFormat="1" applyFont="1" applyAlignment="1">
      <alignment horizontal="center"/>
    </xf>
    <xf numFmtId="0" fontId="55" fillId="0" borderId="0" xfId="220" applyFont="1" applyAlignment="1">
      <alignment horizontal="left" vertical="center" wrapText="1"/>
    </xf>
    <xf numFmtId="173" fontId="55" fillId="0" borderId="0" xfId="88" applyNumberFormat="1" applyFont="1" applyFill="1" applyBorder="1" applyAlignment="1">
      <alignment horizontal="center" vertical="center"/>
    </xf>
    <xf numFmtId="9" fontId="55" fillId="0" borderId="0" xfId="221" applyFont="1" applyFill="1" applyBorder="1" applyAlignment="1">
      <alignment horizontal="center" vertical="center"/>
    </xf>
    <xf numFmtId="0" fontId="10" fillId="32" borderId="40" xfId="0" applyFont="1" applyFill="1" applyBorder="1" applyAlignment="1">
      <alignment horizontal="center"/>
    </xf>
    <xf numFmtId="9" fontId="11" fillId="32" borderId="41" xfId="81" applyFont="1" applyFill="1" applyBorder="1" applyAlignment="1" applyProtection="1">
      <alignment horizontal="center" vertical="center" wrapText="1"/>
    </xf>
    <xf numFmtId="9" fontId="11" fillId="32" borderId="60" xfId="81" applyFont="1" applyFill="1" applyBorder="1" applyAlignment="1" applyProtection="1">
      <alignment horizontal="center" vertical="center" wrapText="1"/>
    </xf>
    <xf numFmtId="0" fontId="12" fillId="25" borderId="25" xfId="0" applyFont="1" applyFill="1" applyBorder="1" applyAlignment="1">
      <alignment vertical="center"/>
    </xf>
    <xf numFmtId="0" fontId="12" fillId="25" borderId="0" xfId="0" applyFont="1" applyFill="1" applyAlignment="1">
      <alignment vertical="center"/>
    </xf>
    <xf numFmtId="0" fontId="12" fillId="25" borderId="0" xfId="0" applyFont="1" applyFill="1" applyAlignment="1">
      <alignment horizontal="center" vertical="center"/>
    </xf>
    <xf numFmtId="10" fontId="36" fillId="26" borderId="5" xfId="225" applyNumberFormat="1" applyFont="1" applyFill="1" applyBorder="1" applyAlignment="1">
      <alignment horizontal="center"/>
    </xf>
    <xf numFmtId="168" fontId="35" fillId="26" borderId="3" xfId="225" applyNumberFormat="1" applyFont="1" applyFill="1" applyBorder="1" applyAlignment="1">
      <alignment horizontal="center"/>
    </xf>
    <xf numFmtId="0" fontId="8" fillId="26" borderId="4" xfId="0" applyFont="1" applyFill="1" applyBorder="1" applyAlignment="1">
      <alignment horizontal="center"/>
    </xf>
    <xf numFmtId="9" fontId="35" fillId="26" borderId="5" xfId="225" applyFont="1" applyFill="1" applyBorder="1" applyAlignment="1">
      <alignment horizontal="center"/>
    </xf>
    <xf numFmtId="10" fontId="59" fillId="38" borderId="3" xfId="225" applyNumberFormat="1" applyFont="1" applyFill="1" applyBorder="1" applyAlignment="1">
      <alignment horizontal="center"/>
    </xf>
    <xf numFmtId="0" fontId="8" fillId="0" borderId="18" xfId="0" applyFont="1" applyBorder="1" applyAlignment="1">
      <alignment horizontal="center"/>
    </xf>
    <xf numFmtId="0" fontId="62" fillId="0" borderId="8" xfId="43" applyFont="1" applyBorder="1" applyAlignment="1">
      <alignment horizontal="center" vertical="center" wrapText="1"/>
    </xf>
    <xf numFmtId="167" fontId="62" fillId="0" borderId="21" xfId="1" applyNumberFormat="1" applyFont="1" applyFill="1" applyBorder="1" applyAlignment="1" applyProtection="1">
      <alignment horizontal="center" vertical="center" wrapText="1"/>
      <protection locked="0"/>
    </xf>
    <xf numFmtId="9" fontId="62" fillId="0" borderId="21" xfId="81" applyFont="1" applyFill="1" applyBorder="1" applyAlignment="1" applyProtection="1">
      <alignment horizontal="center" vertical="center" wrapText="1"/>
    </xf>
    <xf numFmtId="167" fontId="63" fillId="0" borderId="21" xfId="0" applyNumberFormat="1" applyFont="1" applyBorder="1" applyAlignment="1" applyProtection="1">
      <alignment vertical="center"/>
      <protection locked="0"/>
    </xf>
    <xf numFmtId="167" fontId="63" fillId="0" borderId="18" xfId="0" applyNumberFormat="1" applyFont="1" applyBorder="1" applyAlignment="1" applyProtection="1">
      <alignment vertical="center"/>
      <protection locked="0"/>
    </xf>
    <xf numFmtId="165" fontId="62" fillId="0" borderId="18" xfId="1" applyFont="1" applyFill="1" applyBorder="1" applyAlignment="1" applyProtection="1">
      <alignment horizontal="center" vertical="center"/>
      <protection locked="0"/>
    </xf>
    <xf numFmtId="9" fontId="62" fillId="0" borderId="18" xfId="81" applyFont="1" applyFill="1" applyBorder="1" applyAlignment="1" applyProtection="1">
      <alignment horizontal="center" vertical="center"/>
      <protection locked="0"/>
    </xf>
    <xf numFmtId="0" fontId="35" fillId="0" borderId="0" xfId="0" applyFont="1" applyAlignment="1">
      <alignment horizontal="center"/>
    </xf>
    <xf numFmtId="0" fontId="35" fillId="0" borderId="0" xfId="0" applyFont="1" applyAlignment="1">
      <alignment horizontal="center" wrapText="1"/>
    </xf>
    <xf numFmtId="0" fontId="8" fillId="0" borderId="0" xfId="0" applyFont="1" applyAlignment="1">
      <alignment horizontal="center"/>
    </xf>
    <xf numFmtId="164" fontId="0" fillId="0" borderId="0" xfId="0" applyNumberFormat="1"/>
    <xf numFmtId="171" fontId="8" fillId="0" borderId="0" xfId="1" applyNumberFormat="1" applyFont="1" applyBorder="1"/>
    <xf numFmtId="171" fontId="8" fillId="0" borderId="0" xfId="56" applyNumberFormat="1" applyFont="1" applyBorder="1"/>
    <xf numFmtId="2" fontId="58" fillId="0" borderId="0" xfId="226" applyNumberFormat="1" applyFont="1" applyBorder="1" applyAlignment="1">
      <alignment horizontal="center"/>
    </xf>
    <xf numFmtId="9" fontId="58" fillId="0" borderId="0" xfId="81" applyFont="1" applyBorder="1" applyAlignment="1">
      <alignment horizontal="center"/>
    </xf>
    <xf numFmtId="171" fontId="8" fillId="0" borderId="0" xfId="56" applyNumberFormat="1" applyFont="1" applyFill="1" applyBorder="1"/>
    <xf numFmtId="171" fontId="31" fillId="0" borderId="0" xfId="0" applyNumberFormat="1" applyFont="1"/>
    <xf numFmtId="171" fontId="8" fillId="0" borderId="0" xfId="0" applyNumberFormat="1" applyFont="1"/>
    <xf numFmtId="170" fontId="0" fillId="25" borderId="22" xfId="0" applyNumberFormat="1" applyFill="1" applyBorder="1"/>
    <xf numFmtId="170" fontId="0" fillId="0" borderId="18" xfId="0" applyNumberFormat="1" applyBorder="1" applyAlignment="1">
      <alignment horizontal="center" vertical="center"/>
    </xf>
    <xf numFmtId="170" fontId="32" fillId="0" borderId="18" xfId="0" applyNumberFormat="1" applyFont="1" applyBorder="1" applyAlignment="1">
      <alignment horizontal="center" vertical="center"/>
    </xf>
    <xf numFmtId="170" fontId="0" fillId="0" borderId="0" xfId="0" applyNumberFormat="1"/>
    <xf numFmtId="165" fontId="55" fillId="0" borderId="0" xfId="1" applyFont="1" applyAlignment="1">
      <alignment horizontal="center" vertical="center"/>
    </xf>
    <xf numFmtId="0" fontId="62" fillId="0" borderId="18" xfId="0" applyFont="1" applyBorder="1" applyAlignment="1" applyProtection="1">
      <alignment horizontal="center" vertical="center"/>
      <protection locked="0"/>
    </xf>
    <xf numFmtId="0" fontId="62" fillId="0" borderId="20" xfId="0" applyFont="1" applyBorder="1" applyAlignment="1" applyProtection="1">
      <alignment horizontal="center" vertical="center"/>
      <protection locked="0"/>
    </xf>
    <xf numFmtId="0" fontId="65" fillId="0" borderId="18" xfId="0" applyFont="1" applyBorder="1" applyAlignment="1" applyProtection="1">
      <alignment horizontal="center" vertical="center"/>
      <protection locked="0"/>
    </xf>
    <xf numFmtId="0" fontId="65" fillId="0" borderId="21" xfId="43" applyFont="1" applyBorder="1" applyAlignment="1">
      <alignment horizontal="center" vertical="center" wrapText="1"/>
    </xf>
    <xf numFmtId="0" fontId="65" fillId="0" borderId="20" xfId="0" applyFont="1" applyBorder="1" applyAlignment="1" applyProtection="1">
      <alignment horizontal="center" vertical="center"/>
      <protection locked="0"/>
    </xf>
    <xf numFmtId="167" fontId="65" fillId="0" borderId="21" xfId="1" applyNumberFormat="1" applyFont="1" applyFill="1" applyBorder="1" applyAlignment="1" applyProtection="1">
      <alignment horizontal="center" vertical="center" wrapText="1"/>
      <protection locked="0"/>
    </xf>
    <xf numFmtId="167" fontId="66" fillId="0" borderId="21" xfId="0" applyNumberFormat="1" applyFont="1" applyBorder="1" applyAlignment="1" applyProtection="1">
      <alignment vertical="center"/>
      <protection locked="0"/>
    </xf>
    <xf numFmtId="9" fontId="65" fillId="0" borderId="18" xfId="81" applyFont="1" applyFill="1" applyBorder="1" applyAlignment="1" applyProtection="1">
      <alignment horizontal="center" vertical="center" wrapText="1"/>
    </xf>
    <xf numFmtId="167" fontId="66" fillId="0" borderId="18" xfId="0" applyNumberFormat="1" applyFont="1" applyBorder="1" applyAlignment="1" applyProtection="1">
      <alignment vertical="center"/>
      <protection locked="0"/>
    </xf>
    <xf numFmtId="0" fontId="55" fillId="0" borderId="0" xfId="1" applyNumberFormat="1" applyFont="1" applyFill="1" applyBorder="1" applyAlignment="1">
      <alignment horizontal="center" vertical="center"/>
    </xf>
    <xf numFmtId="170" fontId="55" fillId="0" borderId="0" xfId="220" applyNumberFormat="1" applyFont="1" applyAlignment="1">
      <alignment horizontal="right"/>
    </xf>
    <xf numFmtId="0" fontId="65" fillId="25" borderId="18" xfId="0" applyFont="1" applyFill="1" applyBorder="1" applyAlignment="1" applyProtection="1">
      <alignment horizontal="center" vertical="center"/>
      <protection locked="0"/>
    </xf>
    <xf numFmtId="0" fontId="65" fillId="25" borderId="20" xfId="0" applyFont="1" applyFill="1" applyBorder="1" applyAlignment="1" applyProtection="1">
      <alignment horizontal="center" vertical="center"/>
      <protection locked="0"/>
    </xf>
    <xf numFmtId="167" fontId="66" fillId="25" borderId="21" xfId="0" applyNumberFormat="1" applyFont="1" applyFill="1" applyBorder="1" applyAlignment="1" applyProtection="1">
      <alignment vertical="center"/>
      <protection locked="0"/>
    </xf>
    <xf numFmtId="167" fontId="66" fillId="25" borderId="18" xfId="0" applyNumberFormat="1" applyFont="1" applyFill="1" applyBorder="1" applyAlignment="1" applyProtection="1">
      <alignment vertical="center"/>
      <protection locked="0"/>
    </xf>
    <xf numFmtId="165" fontId="55" fillId="0" borderId="0" xfId="220" applyNumberFormat="1" applyFont="1" applyAlignment="1">
      <alignment horizontal="left" vertical="center"/>
    </xf>
    <xf numFmtId="0" fontId="0" fillId="0" borderId="18" xfId="0" applyBorder="1" applyAlignment="1">
      <alignment horizontal="center" vertical="center"/>
    </xf>
    <xf numFmtId="0" fontId="32" fillId="29" borderId="18" xfId="0" applyFont="1" applyFill="1" applyBorder="1" applyAlignment="1">
      <alignment horizontal="center" vertical="center"/>
    </xf>
    <xf numFmtId="170" fontId="32" fillId="29" borderId="18" xfId="0" applyNumberFormat="1" applyFont="1" applyFill="1" applyBorder="1" applyAlignment="1">
      <alignment horizontal="center" vertical="center"/>
    </xf>
    <xf numFmtId="0" fontId="0" fillId="29" borderId="18" xfId="0" applyFill="1" applyBorder="1" applyAlignment="1">
      <alignment horizontal="center" vertical="center"/>
    </xf>
    <xf numFmtId="170" fontId="0" fillId="29" borderId="18" xfId="0" applyNumberFormat="1" applyFill="1" applyBorder="1" applyAlignment="1">
      <alignment horizontal="center" vertical="center"/>
    </xf>
    <xf numFmtId="0" fontId="8" fillId="0" borderId="18" xfId="0" applyFont="1" applyBorder="1" applyAlignment="1" applyProtection="1">
      <alignment horizontal="center" vertical="center"/>
      <protection locked="0"/>
    </xf>
    <xf numFmtId="167" fontId="8" fillId="0" borderId="21" xfId="1" applyNumberFormat="1" applyFont="1" applyFill="1" applyBorder="1" applyAlignment="1" applyProtection="1">
      <alignment horizontal="center" vertical="center" wrapText="1"/>
      <protection locked="0"/>
    </xf>
    <xf numFmtId="0" fontId="55" fillId="0" borderId="0" xfId="227" applyFont="1"/>
    <xf numFmtId="170" fontId="55" fillId="0" borderId="0" xfId="228" applyNumberFormat="1" applyFont="1" applyAlignment="1">
      <alignment horizontal="center"/>
    </xf>
    <xf numFmtId="0" fontId="55" fillId="0" borderId="0" xfId="227" applyFont="1" applyAlignment="1">
      <alignment vertical="center" wrapText="1"/>
    </xf>
    <xf numFmtId="0" fontId="55" fillId="0" borderId="0" xfId="227" applyFont="1" applyAlignment="1">
      <alignment vertical="center"/>
    </xf>
    <xf numFmtId="170" fontId="55" fillId="0" borderId="0" xfId="227" applyNumberFormat="1" applyFont="1" applyAlignment="1">
      <alignment horizontal="right"/>
    </xf>
    <xf numFmtId="0" fontId="57" fillId="0" borderId="0" xfId="227" applyFont="1"/>
    <xf numFmtId="0" fontId="54" fillId="0" borderId="0" xfId="227" applyFont="1" applyAlignment="1">
      <alignment horizontal="center" vertical="center" wrapText="1"/>
    </xf>
    <xf numFmtId="170" fontId="55" fillId="0" borderId="0" xfId="227" applyNumberFormat="1" applyFont="1"/>
    <xf numFmtId="0" fontId="42" fillId="31" borderId="18" xfId="75" applyFont="1" applyFill="1" applyBorder="1" applyAlignment="1">
      <alignment horizontal="center" vertical="center" wrapText="1"/>
    </xf>
    <xf numFmtId="10" fontId="33" fillId="0" borderId="18" xfId="230" applyNumberFormat="1" applyFont="1" applyFill="1" applyBorder="1" applyAlignment="1">
      <alignment horizontal="center" vertical="center" wrapText="1"/>
    </xf>
    <xf numFmtId="169" fontId="33" fillId="0" borderId="18" xfId="231" applyNumberFormat="1" applyFont="1" applyFill="1" applyBorder="1" applyAlignment="1">
      <alignment horizontal="center" vertical="center" wrapText="1"/>
    </xf>
    <xf numFmtId="43" fontId="33" fillId="0" borderId="18" xfId="231" applyFont="1" applyFill="1" applyBorder="1" applyAlignment="1">
      <alignment horizontal="center" vertical="center" wrapText="1"/>
    </xf>
    <xf numFmtId="10" fontId="33" fillId="0" borderId="38" xfId="230" applyNumberFormat="1" applyFont="1" applyFill="1" applyBorder="1" applyAlignment="1">
      <alignment horizontal="center" vertical="center" wrapText="1"/>
    </xf>
    <xf numFmtId="169" fontId="33" fillId="0" borderId="38" xfId="231" applyNumberFormat="1" applyFont="1" applyFill="1" applyBorder="1" applyAlignment="1">
      <alignment horizontal="center" vertical="center" wrapText="1"/>
    </xf>
    <xf numFmtId="43" fontId="33" fillId="0" borderId="38" xfId="231" applyFont="1" applyFill="1" applyBorder="1" applyAlignment="1">
      <alignment horizontal="center" vertical="center" wrapText="1"/>
    </xf>
    <xf numFmtId="2" fontId="33" fillId="0" borderId="38" xfId="87" applyNumberFormat="1" applyFont="1" applyBorder="1" applyAlignment="1">
      <alignment horizontal="center" vertical="center"/>
    </xf>
    <xf numFmtId="0" fontId="33" fillId="0" borderId="30" xfId="87" applyFont="1" applyBorder="1" applyAlignment="1">
      <alignment horizontal="center" vertical="center" wrapText="1"/>
    </xf>
    <xf numFmtId="10" fontId="33" fillId="0" borderId="31" xfId="230" applyNumberFormat="1" applyFont="1" applyFill="1" applyBorder="1" applyAlignment="1">
      <alignment horizontal="center" vertical="center" wrapText="1"/>
    </xf>
    <xf numFmtId="169" fontId="33" fillId="0" borderId="31" xfId="231" applyNumberFormat="1" applyFont="1" applyFill="1" applyBorder="1" applyAlignment="1">
      <alignment horizontal="center" vertical="center" wrapText="1"/>
    </xf>
    <xf numFmtId="43" fontId="33" fillId="0" borderId="31" xfId="231" applyFont="1" applyFill="1" applyBorder="1" applyAlignment="1">
      <alignment horizontal="center" vertical="center" wrapText="1"/>
    </xf>
    <xf numFmtId="2" fontId="33" fillId="0" borderId="31" xfId="87" applyNumberFormat="1" applyFont="1" applyBorder="1" applyAlignment="1">
      <alignment horizontal="center" vertical="center"/>
    </xf>
    <xf numFmtId="2" fontId="33" fillId="0" borderId="63" xfId="87" applyNumberFormat="1" applyFont="1" applyBorder="1" applyAlignment="1">
      <alignment horizontal="center" vertical="center"/>
    </xf>
    <xf numFmtId="0" fontId="33" fillId="0" borderId="32" xfId="87" applyFont="1" applyBorder="1" applyAlignment="1">
      <alignment horizontal="center" vertical="center" wrapText="1"/>
    </xf>
    <xf numFmtId="2" fontId="33" fillId="0" borderId="33" xfId="87" applyNumberFormat="1" applyFont="1" applyBorder="1" applyAlignment="1">
      <alignment horizontal="center" vertical="center"/>
    </xf>
    <xf numFmtId="0" fontId="67" fillId="0" borderId="0" xfId="87" applyFont="1" applyAlignment="1">
      <alignment horizontal="left" wrapText="1"/>
    </xf>
    <xf numFmtId="0" fontId="33" fillId="36" borderId="34" xfId="87" applyFont="1" applyFill="1" applyBorder="1" applyAlignment="1">
      <alignment horizontal="center" vertical="center" wrapText="1"/>
    </xf>
    <xf numFmtId="10" fontId="33" fillId="36" borderId="35" xfId="230" applyNumberFormat="1" applyFont="1" applyFill="1" applyBorder="1" applyAlignment="1">
      <alignment horizontal="center" vertical="center" wrapText="1"/>
    </xf>
    <xf numFmtId="169" fontId="33" fillId="36" borderId="35" xfId="231" applyNumberFormat="1" applyFont="1" applyFill="1" applyBorder="1" applyAlignment="1">
      <alignment horizontal="center" vertical="center" wrapText="1"/>
    </xf>
    <xf numFmtId="43" fontId="33" fillId="36" borderId="35" xfId="231" applyFont="1" applyFill="1" applyBorder="1" applyAlignment="1">
      <alignment horizontal="center" vertical="center" wrapText="1"/>
    </xf>
    <xf numFmtId="2" fontId="33" fillId="36" borderId="35" xfId="87" applyNumberFormat="1" applyFont="1" applyFill="1" applyBorder="1" applyAlignment="1">
      <alignment horizontal="center" vertical="center"/>
    </xf>
    <xf numFmtId="2" fontId="33" fillId="36" borderId="64" xfId="87" applyNumberFormat="1" applyFont="1" applyFill="1" applyBorder="1" applyAlignment="1">
      <alignment horizontal="center" vertical="center"/>
    </xf>
    <xf numFmtId="0" fontId="33" fillId="0" borderId="27" xfId="87" applyFont="1" applyBorder="1" applyAlignment="1">
      <alignment horizontal="center" vertical="center" wrapText="1"/>
    </xf>
    <xf numFmtId="10" fontId="33" fillId="0" borderId="27" xfId="230" applyNumberFormat="1" applyFont="1" applyFill="1" applyBorder="1" applyAlignment="1">
      <alignment horizontal="center" vertical="center" wrapText="1"/>
    </xf>
    <xf numFmtId="169" fontId="33" fillId="0" borderId="27" xfId="231" applyNumberFormat="1" applyFont="1" applyFill="1" applyBorder="1" applyAlignment="1">
      <alignment horizontal="center" vertical="center" wrapText="1"/>
    </xf>
    <xf numFmtId="43" fontId="33" fillId="0" borderId="27" xfId="231" applyFont="1" applyFill="1" applyBorder="1" applyAlignment="1">
      <alignment horizontal="center" vertical="center" wrapText="1"/>
    </xf>
    <xf numFmtId="2" fontId="33" fillId="0" borderId="27" xfId="87" applyNumberFormat="1" applyFont="1" applyBorder="1" applyAlignment="1">
      <alignment horizontal="center" vertical="center"/>
    </xf>
    <xf numFmtId="165" fontId="55" fillId="24" borderId="0" xfId="220" applyNumberFormat="1" applyFont="1" applyFill="1" applyAlignment="1">
      <alignment horizontal="left" vertical="center"/>
    </xf>
    <xf numFmtId="165" fontId="55" fillId="24" borderId="66" xfId="220" applyNumberFormat="1" applyFont="1" applyFill="1" applyBorder="1" applyAlignment="1">
      <alignment horizontal="left" vertical="center"/>
    </xf>
    <xf numFmtId="171" fontId="8" fillId="40" borderId="18" xfId="56" applyNumberFormat="1" applyFont="1" applyFill="1" applyBorder="1"/>
    <xf numFmtId="171" fontId="60" fillId="40" borderId="18" xfId="1" applyNumberFormat="1" applyFont="1" applyFill="1" applyBorder="1"/>
    <xf numFmtId="1" fontId="58" fillId="40" borderId="18" xfId="226" applyNumberFormat="1" applyFont="1" applyFill="1" applyBorder="1" applyAlignment="1">
      <alignment horizontal="center"/>
    </xf>
    <xf numFmtId="9" fontId="58" fillId="40" borderId="18" xfId="81" applyFont="1" applyFill="1" applyBorder="1" applyAlignment="1">
      <alignment horizontal="center"/>
    </xf>
    <xf numFmtId="165" fontId="55" fillId="24" borderId="66" xfId="1" applyFont="1" applyFill="1" applyBorder="1"/>
    <xf numFmtId="0" fontId="8" fillId="0" borderId="21" xfId="43" applyFont="1" applyBorder="1" applyAlignment="1">
      <alignment horizontal="center" vertical="center" wrapText="1"/>
    </xf>
    <xf numFmtId="165" fontId="8" fillId="0" borderId="21" xfId="1" applyFont="1" applyFill="1" applyBorder="1" applyAlignment="1" applyProtection="1">
      <alignment horizontal="center" vertical="center" wrapText="1"/>
    </xf>
    <xf numFmtId="9" fontId="8" fillId="0" borderId="21" xfId="81" applyFont="1" applyFill="1" applyBorder="1" applyAlignment="1" applyProtection="1">
      <alignment horizontal="center" vertical="center" wrapText="1"/>
    </xf>
    <xf numFmtId="9" fontId="8" fillId="0" borderId="18" xfId="81" applyFont="1" applyFill="1" applyBorder="1" applyAlignment="1" applyProtection="1">
      <alignment horizontal="center" vertical="center" wrapText="1"/>
    </xf>
    <xf numFmtId="0" fontId="8" fillId="0" borderId="21" xfId="43" applyFont="1" applyBorder="1" applyAlignment="1">
      <alignment horizontal="left" vertical="center" wrapText="1"/>
    </xf>
    <xf numFmtId="0" fontId="8" fillId="0" borderId="20" xfId="0" applyFont="1" applyBorder="1" applyAlignment="1" applyProtection="1">
      <alignment horizontal="center" vertical="center"/>
      <protection locked="0"/>
    </xf>
    <xf numFmtId="167" fontId="33" fillId="0" borderId="21" xfId="0" applyNumberFormat="1" applyFont="1" applyBorder="1" applyAlignment="1" applyProtection="1">
      <alignment vertical="center"/>
      <protection locked="0"/>
    </xf>
    <xf numFmtId="167" fontId="33" fillId="0" borderId="18" xfId="0" applyNumberFormat="1" applyFont="1" applyBorder="1" applyAlignment="1" applyProtection="1">
      <alignment vertical="center"/>
      <protection locked="0"/>
    </xf>
    <xf numFmtId="0" fontId="8" fillId="0" borderId="8" xfId="43" applyFont="1" applyBorder="1" applyAlignment="1">
      <alignment horizontal="center" vertical="center" wrapText="1"/>
    </xf>
    <xf numFmtId="0" fontId="8" fillId="0" borderId="21" xfId="43" quotePrefix="1" applyFont="1" applyBorder="1" applyAlignment="1">
      <alignment horizontal="left" vertical="center" wrapText="1"/>
    </xf>
    <xf numFmtId="0" fontId="50" fillId="0" borderId="0" xfId="75" applyFont="1" applyAlignment="1">
      <alignment horizontal="center"/>
    </xf>
    <xf numFmtId="0" fontId="42" fillId="0" borderId="0" xfId="75" applyFont="1" applyAlignment="1">
      <alignment horizontal="center" vertical="center" wrapText="1"/>
    </xf>
    <xf numFmtId="2" fontId="33" fillId="0" borderId="0" xfId="87" applyNumberFormat="1" applyFont="1" applyAlignment="1">
      <alignment horizontal="center" vertical="center"/>
    </xf>
    <xf numFmtId="0" fontId="51" fillId="0" borderId="0" xfId="87" applyFont="1"/>
    <xf numFmtId="0" fontId="9" fillId="0" borderId="64" xfId="87" applyBorder="1"/>
    <xf numFmtId="0" fontId="42" fillId="0" borderId="30" xfId="87" applyFont="1" applyBorder="1" applyAlignment="1">
      <alignment horizontal="center" vertical="center" wrapText="1"/>
    </xf>
    <xf numFmtId="0" fontId="32" fillId="0" borderId="63" xfId="87" applyFont="1" applyBorder="1" applyAlignment="1">
      <alignment horizontal="center" vertical="center" wrapText="1"/>
    </xf>
    <xf numFmtId="0" fontId="42" fillId="0" borderId="32" xfId="87" applyFont="1" applyBorder="1" applyAlignment="1">
      <alignment horizontal="center" vertical="center" wrapText="1"/>
    </xf>
    <xf numFmtId="0" fontId="9" fillId="0" borderId="49" xfId="87" applyBorder="1"/>
    <xf numFmtId="0" fontId="42" fillId="31" borderId="32" xfId="75" applyFont="1" applyFill="1" applyBorder="1" applyAlignment="1">
      <alignment horizontal="center" vertical="center" wrapText="1"/>
    </xf>
    <xf numFmtId="0" fontId="42" fillId="31" borderId="33" xfId="75" applyFont="1" applyFill="1" applyBorder="1" applyAlignment="1">
      <alignment horizontal="center" vertical="center" wrapText="1"/>
    </xf>
    <xf numFmtId="0" fontId="33" fillId="0" borderId="34" xfId="87" applyFont="1" applyBorder="1" applyAlignment="1">
      <alignment horizontal="center" vertical="center" wrapText="1"/>
    </xf>
    <xf numFmtId="10" fontId="33" fillId="0" borderId="35" xfId="230" applyNumberFormat="1" applyFont="1" applyFill="1" applyBorder="1" applyAlignment="1">
      <alignment horizontal="center" vertical="center" wrapText="1"/>
    </xf>
    <xf numFmtId="169" fontId="33" fillId="0" borderId="35" xfId="231" applyNumberFormat="1" applyFont="1" applyFill="1" applyBorder="1" applyAlignment="1">
      <alignment horizontal="center" vertical="center" wrapText="1"/>
    </xf>
    <xf numFmtId="43" fontId="33" fillId="0" borderId="35" xfId="231" applyFont="1" applyFill="1" applyBorder="1" applyAlignment="1">
      <alignment horizontal="center" vertical="center" wrapText="1"/>
    </xf>
    <xf numFmtId="2" fontId="33" fillId="0" borderId="35" xfId="87" applyNumberFormat="1" applyFont="1" applyBorder="1" applyAlignment="1">
      <alignment horizontal="center" vertical="center"/>
    </xf>
    <xf numFmtId="2" fontId="33" fillId="0" borderId="64" xfId="87" applyNumberFormat="1" applyFont="1" applyBorder="1" applyAlignment="1">
      <alignment horizontal="center" vertical="center"/>
    </xf>
    <xf numFmtId="0" fontId="35" fillId="26" borderId="5" xfId="0" applyFont="1" applyFill="1" applyBorder="1" applyAlignment="1">
      <alignment horizontal="center" vertical="top"/>
    </xf>
    <xf numFmtId="0" fontId="8" fillId="0" borderId="32" xfId="0" applyFont="1" applyBorder="1" applyAlignment="1">
      <alignment horizontal="center"/>
    </xf>
    <xf numFmtId="0" fontId="8" fillId="0" borderId="34" xfId="0" applyFont="1" applyBorder="1" applyAlignment="1">
      <alignment horizontal="center"/>
    </xf>
    <xf numFmtId="2" fontId="8" fillId="0" borderId="18" xfId="226" applyNumberFormat="1" applyFont="1" applyBorder="1" applyAlignment="1">
      <alignment horizontal="center"/>
    </xf>
    <xf numFmtId="9" fontId="8" fillId="0" borderId="18" xfId="81" applyFont="1" applyBorder="1" applyAlignment="1">
      <alignment horizontal="center"/>
    </xf>
    <xf numFmtId="168" fontId="65" fillId="0" borderId="21" xfId="81" applyNumberFormat="1" applyFont="1" applyFill="1" applyBorder="1" applyAlignment="1" applyProtection="1">
      <alignment horizontal="center" vertical="center" wrapText="1"/>
    </xf>
    <xf numFmtId="168" fontId="8" fillId="0" borderId="21" xfId="81" applyNumberFormat="1" applyFont="1" applyFill="1" applyBorder="1" applyAlignment="1" applyProtection="1">
      <alignment horizontal="center" vertical="center" wrapText="1"/>
    </xf>
    <xf numFmtId="168" fontId="62" fillId="0" borderId="18" xfId="81" applyNumberFormat="1" applyFont="1" applyFill="1" applyBorder="1" applyAlignment="1" applyProtection="1">
      <alignment horizontal="center" vertical="center"/>
      <protection locked="0"/>
    </xf>
    <xf numFmtId="2" fontId="8" fillId="0" borderId="18" xfId="226" applyNumberFormat="1" applyFont="1" applyFill="1" applyBorder="1" applyAlignment="1">
      <alignment horizontal="center"/>
    </xf>
    <xf numFmtId="0" fontId="0" fillId="41" borderId="0" xfId="0" applyFill="1"/>
    <xf numFmtId="2" fontId="8" fillId="41" borderId="18" xfId="226" applyNumberFormat="1" applyFont="1" applyFill="1" applyBorder="1" applyAlignment="1">
      <alignment horizontal="center"/>
    </xf>
    <xf numFmtId="9" fontId="8" fillId="41" borderId="18" xfId="81" applyFont="1" applyFill="1" applyBorder="1" applyAlignment="1">
      <alignment horizontal="center"/>
    </xf>
    <xf numFmtId="2" fontId="8" fillId="0" borderId="35" xfId="226" applyNumberFormat="1" applyFont="1" applyBorder="1" applyAlignment="1">
      <alignment horizontal="center"/>
    </xf>
    <xf numFmtId="9" fontId="8" fillId="0" borderId="35" xfId="81" applyFont="1" applyBorder="1" applyAlignment="1">
      <alignment horizontal="center"/>
    </xf>
    <xf numFmtId="9" fontId="43" fillId="0" borderId="0" xfId="81" applyFont="1" applyFill="1" applyBorder="1"/>
    <xf numFmtId="172" fontId="43" fillId="0" borderId="0" xfId="0" applyNumberFormat="1" applyFont="1"/>
    <xf numFmtId="0" fontId="55" fillId="0" borderId="29" xfId="220" applyFont="1" applyBorder="1" applyAlignment="1">
      <alignment horizontal="center" vertical="center"/>
    </xf>
    <xf numFmtId="0" fontId="70" fillId="0" borderId="0" xfId="234" applyBorder="1" applyAlignment="1">
      <alignment horizontal="left" vertical="center"/>
    </xf>
    <xf numFmtId="170" fontId="55" fillId="0" borderId="3" xfId="222" applyNumberFormat="1" applyFont="1" applyBorder="1" applyAlignment="1">
      <alignment horizontal="center" vertical="center"/>
    </xf>
    <xf numFmtId="0" fontId="71" fillId="0" borderId="0" xfId="0" applyFont="1"/>
    <xf numFmtId="0" fontId="35" fillId="26" borderId="5" xfId="0" quotePrefix="1" applyFont="1" applyFill="1" applyBorder="1" applyAlignment="1">
      <alignment horizontal="center" vertical="top" wrapText="1"/>
    </xf>
    <xf numFmtId="170" fontId="8" fillId="0" borderId="18" xfId="1" applyNumberFormat="1" applyFont="1" applyBorder="1"/>
    <xf numFmtId="170" fontId="8" fillId="0" borderId="18" xfId="56" applyNumberFormat="1" applyFont="1" applyBorder="1"/>
    <xf numFmtId="170" fontId="31" fillId="0" borderId="18" xfId="0" applyNumberFormat="1" applyFont="1" applyBorder="1"/>
    <xf numFmtId="170" fontId="8" fillId="0" borderId="18" xfId="56" applyNumberFormat="1" applyFont="1" applyFill="1" applyBorder="1"/>
    <xf numFmtId="170" fontId="8" fillId="0" borderId="35" xfId="1" applyNumberFormat="1" applyFont="1" applyBorder="1"/>
    <xf numFmtId="171" fontId="31" fillId="40" borderId="18" xfId="0" applyNumberFormat="1" applyFont="1" applyFill="1" applyBorder="1"/>
    <xf numFmtId="171" fontId="8" fillId="40" borderId="33" xfId="0" applyNumberFormat="1" applyFont="1" applyFill="1" applyBorder="1"/>
    <xf numFmtId="0" fontId="8" fillId="0" borderId="58" xfId="0" applyFont="1" applyBorder="1" applyAlignment="1">
      <alignment horizontal="center"/>
    </xf>
    <xf numFmtId="0" fontId="8" fillId="0" borderId="27" xfId="0" applyFont="1" applyBorder="1" applyAlignment="1">
      <alignment horizontal="center"/>
    </xf>
    <xf numFmtId="0" fontId="8" fillId="26" borderId="76" xfId="0" applyFont="1" applyFill="1" applyBorder="1" applyAlignment="1">
      <alignment horizontal="center"/>
    </xf>
    <xf numFmtId="0" fontId="35" fillId="26" borderId="6" xfId="0" applyFont="1" applyFill="1" applyBorder="1" applyAlignment="1">
      <alignment horizontal="center" vertical="top" wrapText="1"/>
    </xf>
    <xf numFmtId="0" fontId="35" fillId="26" borderId="6" xfId="0" applyFont="1" applyFill="1" applyBorder="1" applyAlignment="1">
      <alignment horizontal="center"/>
    </xf>
    <xf numFmtId="10" fontId="36" fillId="26" borderId="6" xfId="225" quotePrefix="1" applyNumberFormat="1" applyFont="1" applyFill="1" applyBorder="1" applyAlignment="1">
      <alignment horizontal="center"/>
    </xf>
    <xf numFmtId="0" fontId="8" fillId="26" borderId="6" xfId="0" applyFont="1" applyFill="1" applyBorder="1" applyAlignment="1">
      <alignment horizontal="center"/>
    </xf>
    <xf numFmtId="0" fontId="8" fillId="26" borderId="36" xfId="0" applyFont="1" applyFill="1" applyBorder="1" applyAlignment="1">
      <alignment horizontal="center"/>
    </xf>
    <xf numFmtId="0" fontId="8" fillId="26" borderId="77" xfId="0" quotePrefix="1" applyFont="1" applyFill="1" applyBorder="1" applyAlignment="1">
      <alignment horizontal="center"/>
    </xf>
    <xf numFmtId="0" fontId="8" fillId="26" borderId="69" xfId="0" applyFont="1" applyFill="1" applyBorder="1" applyAlignment="1">
      <alignment horizontal="center"/>
    </xf>
    <xf numFmtId="171" fontId="8" fillId="40" borderId="18" xfId="0" applyNumberFormat="1" applyFont="1" applyFill="1" applyBorder="1"/>
    <xf numFmtId="170" fontId="8" fillId="0" borderId="35" xfId="56" applyNumberFormat="1" applyFont="1" applyBorder="1"/>
    <xf numFmtId="170" fontId="8" fillId="0" borderId="35" xfId="56" applyNumberFormat="1" applyFont="1" applyFill="1" applyBorder="1"/>
    <xf numFmtId="170" fontId="8" fillId="0" borderId="33" xfId="0" applyNumberFormat="1" applyFont="1" applyBorder="1"/>
    <xf numFmtId="170" fontId="31" fillId="0" borderId="35" xfId="0" applyNumberFormat="1" applyFont="1" applyBorder="1"/>
    <xf numFmtId="170" fontId="8" fillId="0" borderId="64" xfId="0" applyNumberFormat="1" applyFont="1" applyBorder="1"/>
    <xf numFmtId="170" fontId="35" fillId="30" borderId="5" xfId="55" applyNumberFormat="1" applyFont="1" applyFill="1" applyBorder="1" applyAlignment="1">
      <alignment horizontal="center"/>
    </xf>
    <xf numFmtId="0" fontId="8" fillId="0" borderId="38" xfId="0" applyFont="1" applyBorder="1" applyAlignment="1">
      <alignment horizontal="center"/>
    </xf>
    <xf numFmtId="171" fontId="8" fillId="40" borderId="38" xfId="56" applyNumberFormat="1" applyFont="1" applyFill="1" applyBorder="1"/>
    <xf numFmtId="2" fontId="58" fillId="40" borderId="38" xfId="226" applyNumberFormat="1" applyFont="1" applyFill="1" applyBorder="1" applyAlignment="1">
      <alignment horizontal="center"/>
    </xf>
    <xf numFmtId="9" fontId="58" fillId="40" borderId="38" xfId="81" applyFont="1" applyFill="1" applyBorder="1" applyAlignment="1">
      <alignment horizontal="center"/>
    </xf>
    <xf numFmtId="171" fontId="31" fillId="40" borderId="38" xfId="0" applyNumberFormat="1" applyFont="1" applyFill="1" applyBorder="1"/>
    <xf numFmtId="171" fontId="8" fillId="40" borderId="38" xfId="0" applyNumberFormat="1" applyFont="1" applyFill="1" applyBorder="1"/>
    <xf numFmtId="0" fontId="8" fillId="0" borderId="30" xfId="0" applyFont="1" applyBorder="1" applyAlignment="1">
      <alignment horizontal="center"/>
    </xf>
    <xf numFmtId="9" fontId="8" fillId="0" borderId="31" xfId="81" applyFont="1" applyBorder="1" applyAlignment="1">
      <alignment horizontal="center"/>
    </xf>
    <xf numFmtId="171" fontId="31" fillId="0" borderId="31" xfId="0" applyNumberFormat="1" applyFont="1" applyBorder="1"/>
    <xf numFmtId="0" fontId="8" fillId="41" borderId="32" xfId="0" applyFont="1" applyFill="1" applyBorder="1" applyAlignment="1">
      <alignment horizontal="center"/>
    </xf>
    <xf numFmtId="170" fontId="8" fillId="0" borderId="31" xfId="1" applyNumberFormat="1" applyFont="1" applyFill="1" applyBorder="1"/>
    <xf numFmtId="170" fontId="8" fillId="0" borderId="31" xfId="56" applyNumberFormat="1" applyFont="1" applyBorder="1"/>
    <xf numFmtId="170" fontId="8" fillId="41" borderId="18" xfId="1" applyNumberFormat="1" applyFont="1" applyFill="1" applyBorder="1"/>
    <xf numFmtId="170" fontId="8" fillId="41" borderId="18" xfId="56" applyNumberFormat="1" applyFont="1" applyFill="1" applyBorder="1"/>
    <xf numFmtId="170" fontId="31" fillId="0" borderId="31" xfId="56" applyNumberFormat="1" applyFont="1" applyFill="1" applyBorder="1"/>
    <xf numFmtId="170" fontId="8" fillId="0" borderId="63" xfId="0" applyNumberFormat="1" applyFont="1" applyBorder="1"/>
    <xf numFmtId="170" fontId="31" fillId="41" borderId="18" xfId="0" applyNumberFormat="1" applyFont="1" applyFill="1" applyBorder="1"/>
    <xf numFmtId="170" fontId="8" fillId="41" borderId="33" xfId="0" applyNumberFormat="1" applyFont="1" applyFill="1" applyBorder="1"/>
    <xf numFmtId="170" fontId="8" fillId="0" borderId="31" xfId="1" applyNumberFormat="1" applyFont="1" applyBorder="1"/>
    <xf numFmtId="171" fontId="8" fillId="40" borderId="68" xfId="0" applyNumberFormat="1" applyFont="1" applyFill="1" applyBorder="1"/>
    <xf numFmtId="0" fontId="8" fillId="0" borderId="67" xfId="0" applyFont="1" applyBorder="1" applyAlignment="1">
      <alignment horizontal="center"/>
    </xf>
    <xf numFmtId="171" fontId="60" fillId="40" borderId="38" xfId="1" applyNumberFormat="1" applyFont="1" applyFill="1" applyBorder="1"/>
    <xf numFmtId="170" fontId="8" fillId="0" borderId="18" xfId="1" applyNumberFormat="1" applyFont="1" applyFill="1" applyBorder="1"/>
    <xf numFmtId="44" fontId="8" fillId="40" borderId="27" xfId="1" applyNumberFormat="1" applyFont="1" applyFill="1" applyBorder="1"/>
    <xf numFmtId="171" fontId="8" fillId="40" borderId="27" xfId="56" applyNumberFormat="1" applyFont="1" applyFill="1" applyBorder="1"/>
    <xf numFmtId="1" fontId="8" fillId="40" borderId="27" xfId="226" applyNumberFormat="1" applyFont="1" applyFill="1" applyBorder="1" applyAlignment="1">
      <alignment horizontal="center"/>
    </xf>
    <xf numFmtId="171" fontId="60" fillId="40" borderId="27" xfId="1" applyNumberFormat="1" applyFont="1" applyFill="1" applyBorder="1"/>
    <xf numFmtId="171" fontId="31" fillId="40" borderId="27" xfId="0" applyNumberFormat="1" applyFont="1" applyFill="1" applyBorder="1"/>
    <xf numFmtId="171" fontId="8" fillId="40" borderId="27" xfId="0" applyNumberFormat="1" applyFont="1" applyFill="1" applyBorder="1"/>
    <xf numFmtId="171" fontId="8" fillId="40" borderId="65" xfId="0" applyNumberFormat="1" applyFont="1" applyFill="1" applyBorder="1"/>
    <xf numFmtId="171" fontId="61" fillId="40" borderId="38" xfId="1" applyNumberFormat="1" applyFont="1" applyFill="1" applyBorder="1"/>
    <xf numFmtId="166" fontId="32" fillId="0" borderId="64" xfId="87" applyNumberFormat="1" applyFont="1" applyBorder="1" applyAlignment="1">
      <alignment horizontal="center" vertical="center"/>
    </xf>
    <xf numFmtId="2" fontId="42" fillId="0" borderId="0" xfId="87" applyNumberFormat="1" applyFont="1" applyAlignment="1">
      <alignment horizontal="center" vertical="center" wrapText="1"/>
    </xf>
    <xf numFmtId="2" fontId="33" fillId="0" borderId="47" xfId="87" applyNumberFormat="1" applyFont="1" applyBorder="1" applyAlignment="1">
      <alignment horizontal="center" vertical="center"/>
    </xf>
    <xf numFmtId="2" fontId="33" fillId="0" borderId="71" xfId="87" applyNumberFormat="1" applyFont="1" applyBorder="1" applyAlignment="1">
      <alignment horizontal="center" vertical="center"/>
    </xf>
    <xf numFmtId="2" fontId="33" fillId="0" borderId="78" xfId="87" applyNumberFormat="1" applyFont="1" applyBorder="1" applyAlignment="1">
      <alignment horizontal="center" vertical="center"/>
    </xf>
    <xf numFmtId="2" fontId="33" fillId="0" borderId="32" xfId="87" applyNumberFormat="1" applyFont="1" applyBorder="1" applyAlignment="1">
      <alignment horizontal="center" vertical="center"/>
    </xf>
    <xf numFmtId="2" fontId="33" fillId="0" borderId="34" xfId="87" applyNumberFormat="1" applyFont="1" applyBorder="1" applyAlignment="1">
      <alignment horizontal="center" vertical="center"/>
    </xf>
    <xf numFmtId="2" fontId="33" fillId="0" borderId="50" xfId="87" applyNumberFormat="1" applyFont="1" applyBorder="1" applyAlignment="1">
      <alignment horizontal="center" vertical="center"/>
    </xf>
    <xf numFmtId="2" fontId="33" fillId="0" borderId="53" xfId="87" applyNumberFormat="1" applyFont="1" applyBorder="1" applyAlignment="1">
      <alignment horizontal="center" vertical="center"/>
    </xf>
    <xf numFmtId="0" fontId="33" fillId="0" borderId="55" xfId="87" applyFont="1" applyBorder="1" applyAlignment="1">
      <alignment horizontal="center" vertical="center"/>
    </xf>
    <xf numFmtId="2" fontId="33" fillId="0" borderId="56" xfId="87" applyNumberFormat="1" applyFont="1" applyBorder="1" applyAlignment="1">
      <alignment horizontal="center" vertical="center"/>
    </xf>
    <xf numFmtId="2" fontId="9" fillId="0" borderId="33" xfId="87" applyNumberFormat="1" applyBorder="1"/>
    <xf numFmtId="2" fontId="9" fillId="36" borderId="33" xfId="87" applyNumberFormat="1" applyFill="1" applyBorder="1"/>
    <xf numFmtId="2" fontId="8" fillId="0" borderId="31" xfId="226" applyNumberFormat="1" applyFont="1" applyFill="1" applyBorder="1" applyAlignment="1">
      <alignment horizontal="center"/>
    </xf>
    <xf numFmtId="0" fontId="33" fillId="36" borderId="58" xfId="87" applyFont="1" applyFill="1" applyBorder="1" applyAlignment="1">
      <alignment horizontal="center" vertical="center" wrapText="1"/>
    </xf>
    <xf numFmtId="168" fontId="11" fillId="32" borderId="44" xfId="1" applyNumberFormat="1" applyFont="1" applyFill="1" applyBorder="1" applyAlignment="1" applyProtection="1">
      <alignment horizontal="center"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2" fontId="9" fillId="43" borderId="28" xfId="87" applyNumberFormat="1" applyFill="1" applyBorder="1"/>
    <xf numFmtId="2" fontId="33" fillId="43" borderId="30" xfId="87" applyNumberFormat="1" applyFont="1" applyFill="1" applyBorder="1" applyAlignment="1">
      <alignment horizontal="center" vertical="center"/>
    </xf>
    <xf numFmtId="0" fontId="33" fillId="0" borderId="67" xfId="87" applyFont="1" applyBorder="1" applyAlignment="1">
      <alignment horizontal="center" vertical="center" wrapText="1"/>
    </xf>
    <xf numFmtId="2" fontId="33" fillId="0" borderId="68" xfId="87" applyNumberFormat="1" applyFont="1" applyBorder="1" applyAlignment="1">
      <alignment horizontal="center" vertical="center"/>
    </xf>
    <xf numFmtId="171" fontId="8" fillId="0" borderId="31" xfId="56" applyNumberFormat="1" applyFont="1" applyFill="1" applyBorder="1"/>
    <xf numFmtId="170" fontId="0" fillId="39" borderId="18" xfId="0" applyNumberFormat="1" applyFill="1" applyBorder="1" applyAlignment="1">
      <alignment horizontal="center" vertical="center"/>
    </xf>
    <xf numFmtId="0" fontId="0" fillId="0" borderId="0" xfId="0" applyAlignment="1">
      <alignment vertical="top" wrapText="1"/>
    </xf>
    <xf numFmtId="0" fontId="9" fillId="36" borderId="0" xfId="87" applyFill="1" applyAlignment="1">
      <alignment horizontal="center"/>
    </xf>
    <xf numFmtId="0" fontId="9" fillId="0" borderId="0" xfId="87" applyAlignment="1">
      <alignment horizontal="right" vertical="center"/>
    </xf>
    <xf numFmtId="2" fontId="33" fillId="36" borderId="32" xfId="87" applyNumberFormat="1" applyFont="1" applyFill="1" applyBorder="1" applyAlignment="1">
      <alignment horizontal="center" vertical="center"/>
    </xf>
    <xf numFmtId="2" fontId="33" fillId="36" borderId="47" xfId="87" applyNumberFormat="1" applyFont="1" applyFill="1" applyBorder="1" applyAlignment="1">
      <alignment horizontal="center" vertical="center"/>
    </xf>
    <xf numFmtId="0" fontId="75" fillId="0" borderId="0" xfId="0" applyFont="1"/>
    <xf numFmtId="0" fontId="33" fillId="0" borderId="53" xfId="87" applyFont="1" applyBorder="1" applyAlignment="1">
      <alignment wrapText="1"/>
    </xf>
    <xf numFmtId="0" fontId="42" fillId="0" borderId="34" xfId="87" applyFont="1" applyBorder="1" applyAlignment="1">
      <alignment horizontal="center" vertical="center" wrapText="1"/>
    </xf>
    <xf numFmtId="0" fontId="44" fillId="27" borderId="23" xfId="0" applyFont="1" applyFill="1" applyBorder="1"/>
    <xf numFmtId="167" fontId="43" fillId="27" borderId="46" xfId="1" applyNumberFormat="1" applyFont="1" applyFill="1" applyBorder="1"/>
    <xf numFmtId="0" fontId="32" fillId="27" borderId="25" xfId="0" applyFont="1" applyFill="1" applyBorder="1" applyAlignment="1">
      <alignment horizontal="left" indent="2"/>
    </xf>
    <xf numFmtId="170" fontId="44" fillId="27" borderId="0" xfId="1" applyNumberFormat="1" applyFont="1" applyFill="1" applyBorder="1" applyAlignment="1">
      <alignment horizontal="center" vertical="center"/>
    </xf>
    <xf numFmtId="170" fontId="44" fillId="27" borderId="49" xfId="1" applyNumberFormat="1" applyFont="1" applyFill="1" applyBorder="1" applyAlignment="1">
      <alignment horizontal="center" vertical="center"/>
    </xf>
    <xf numFmtId="0" fontId="68" fillId="27" borderId="25" xfId="0" applyFont="1" applyFill="1" applyBorder="1" applyAlignment="1">
      <alignment horizontal="left" indent="5"/>
    </xf>
    <xf numFmtId="0" fontId="68" fillId="27" borderId="50" xfId="0" applyFont="1" applyFill="1" applyBorder="1" applyAlignment="1">
      <alignment horizontal="left" indent="5"/>
    </xf>
    <xf numFmtId="0" fontId="43" fillId="27" borderId="51" xfId="0" applyFont="1" applyFill="1" applyBorder="1"/>
    <xf numFmtId="170" fontId="69" fillId="27" borderId="52" xfId="1" applyNumberFormat="1" applyFont="1" applyFill="1" applyBorder="1" applyAlignment="1">
      <alignment horizontal="center" vertical="center"/>
    </xf>
    <xf numFmtId="167" fontId="43" fillId="27" borderId="24" xfId="1" applyNumberFormat="1" applyFont="1" applyFill="1" applyBorder="1" applyAlignment="1">
      <alignment horizontal="center" vertical="center"/>
    </xf>
    <xf numFmtId="0" fontId="0" fillId="27" borderId="49" xfId="0" applyFill="1" applyBorder="1"/>
    <xf numFmtId="0" fontId="55" fillId="27" borderId="0" xfId="220" applyFont="1" applyFill="1"/>
    <xf numFmtId="0" fontId="55" fillId="27" borderId="49" xfId="220" applyFont="1" applyFill="1" applyBorder="1"/>
    <xf numFmtId="0" fontId="55" fillId="27" borderId="25" xfId="220" applyFont="1" applyFill="1" applyBorder="1"/>
    <xf numFmtId="0" fontId="55" fillId="27" borderId="0" xfId="220" applyFont="1" applyFill="1" applyAlignment="1">
      <alignment horizontal="right"/>
    </xf>
    <xf numFmtId="171" fontId="55" fillId="27" borderId="0" xfId="220" applyNumberFormat="1" applyFont="1" applyFill="1"/>
    <xf numFmtId="171" fontId="55" fillId="27" borderId="0" xfId="220" applyNumberFormat="1" applyFont="1" applyFill="1" applyAlignment="1">
      <alignment horizontal="center"/>
    </xf>
    <xf numFmtId="171" fontId="55" fillId="27" borderId="0" xfId="1" applyNumberFormat="1" applyFont="1" applyFill="1" applyBorder="1"/>
    <xf numFmtId="0" fontId="55" fillId="27" borderId="25" xfId="220" applyFont="1" applyFill="1" applyBorder="1" applyAlignment="1">
      <alignment horizontal="center"/>
    </xf>
    <xf numFmtId="0" fontId="55" fillId="27" borderId="50" xfId="220" applyFont="1" applyFill="1" applyBorder="1" applyAlignment="1">
      <alignment horizontal="center"/>
    </xf>
    <xf numFmtId="0" fontId="55" fillId="27" borderId="51" xfId="220" applyFont="1" applyFill="1" applyBorder="1" applyAlignment="1">
      <alignment horizontal="right"/>
    </xf>
    <xf numFmtId="171" fontId="55" fillId="27" borderId="51" xfId="220" applyNumberFormat="1" applyFont="1" applyFill="1" applyBorder="1"/>
    <xf numFmtId="0" fontId="0" fillId="27" borderId="52" xfId="0" applyFill="1" applyBorder="1"/>
    <xf numFmtId="0" fontId="77" fillId="0" borderId="51" xfId="0" applyFont="1" applyBorder="1"/>
    <xf numFmtId="0" fontId="78" fillId="0" borderId="0" xfId="0" applyFont="1"/>
    <xf numFmtId="0" fontId="77" fillId="42" borderId="24" xfId="0" applyFont="1" applyFill="1" applyBorder="1" applyAlignment="1">
      <alignment horizontal="center" wrapText="1"/>
    </xf>
    <xf numFmtId="0" fontId="78" fillId="27" borderId="57" xfId="0" applyFont="1" applyFill="1" applyBorder="1" applyAlignment="1">
      <alignment horizontal="left"/>
    </xf>
    <xf numFmtId="171" fontId="78" fillId="27" borderId="0" xfId="218" applyNumberFormat="1" applyFont="1" applyFill="1" applyBorder="1" applyAlignment="1">
      <alignment horizontal="center"/>
    </xf>
    <xf numFmtId="174" fontId="78" fillId="27" borderId="73" xfId="218" applyNumberFormat="1" applyFont="1" applyFill="1" applyBorder="1" applyAlignment="1">
      <alignment horizontal="center"/>
    </xf>
    <xf numFmtId="0" fontId="78" fillId="27" borderId="25" xfId="0" applyFont="1" applyFill="1" applyBorder="1" applyAlignment="1">
      <alignment horizontal="left"/>
    </xf>
    <xf numFmtId="174" fontId="78" fillId="27" borderId="74" xfId="218" applyNumberFormat="1" applyFont="1" applyFill="1" applyBorder="1" applyAlignment="1">
      <alignment horizontal="center"/>
    </xf>
    <xf numFmtId="171" fontId="77" fillId="42" borderId="62" xfId="218" applyNumberFormat="1" applyFont="1" applyFill="1" applyBorder="1" applyAlignment="1"/>
    <xf numFmtId="171" fontId="78" fillId="27" borderId="41" xfId="218" applyNumberFormat="1" applyFont="1" applyFill="1" applyBorder="1" applyAlignment="1">
      <alignment horizontal="center"/>
    </xf>
    <xf numFmtId="174" fontId="78" fillId="27" borderId="70" xfId="218" applyNumberFormat="1" applyFont="1" applyFill="1" applyBorder="1" applyAlignment="1">
      <alignment horizontal="center"/>
    </xf>
    <xf numFmtId="174" fontId="78" fillId="27" borderId="49" xfId="218" applyNumberFormat="1" applyFont="1" applyFill="1" applyBorder="1" applyAlignment="1">
      <alignment horizontal="center"/>
    </xf>
    <xf numFmtId="0" fontId="78" fillId="27" borderId="45" xfId="0" applyFont="1" applyFill="1" applyBorder="1" applyAlignment="1">
      <alignment horizontal="left"/>
    </xf>
    <xf numFmtId="171" fontId="78" fillId="27" borderId="7" xfId="218" applyNumberFormat="1" applyFont="1" applyFill="1" applyBorder="1" applyAlignment="1">
      <alignment horizontal="center"/>
    </xf>
    <xf numFmtId="174" fontId="78" fillId="27" borderId="48" xfId="218" applyNumberFormat="1" applyFont="1" applyFill="1" applyBorder="1" applyAlignment="1">
      <alignment horizontal="center"/>
    </xf>
    <xf numFmtId="0" fontId="77" fillId="0" borderId="0" xfId="0" applyFont="1"/>
    <xf numFmtId="0" fontId="77" fillId="0" borderId="0" xfId="0" applyFont="1" applyAlignment="1">
      <alignment horizontal="center" wrapText="1"/>
    </xf>
    <xf numFmtId="174" fontId="78" fillId="0" borderId="0" xfId="218" applyNumberFormat="1" applyFont="1" applyFill="1" applyBorder="1" applyAlignment="1">
      <alignment horizontal="center"/>
    </xf>
    <xf numFmtId="174" fontId="78" fillId="0" borderId="0" xfId="218" applyNumberFormat="1" applyFont="1" applyFill="1" applyBorder="1" applyAlignment="1">
      <alignment horizontal="left"/>
    </xf>
    <xf numFmtId="174" fontId="77" fillId="0" borderId="0" xfId="218" applyNumberFormat="1" applyFont="1" applyFill="1" applyBorder="1" applyAlignment="1">
      <alignment horizontal="center"/>
    </xf>
    <xf numFmtId="0" fontId="77" fillId="42" borderId="46" xfId="0" applyFont="1" applyFill="1" applyBorder="1" applyAlignment="1">
      <alignment horizontal="center" wrapText="1"/>
    </xf>
    <xf numFmtId="171" fontId="78" fillId="27" borderId="49" xfId="218" applyNumberFormat="1" applyFont="1" applyFill="1" applyBorder="1" applyAlignment="1">
      <alignment horizontal="center"/>
    </xf>
    <xf numFmtId="171" fontId="78" fillId="27" borderId="48" xfId="218" applyNumberFormat="1" applyFont="1" applyFill="1" applyBorder="1" applyAlignment="1">
      <alignment horizontal="center"/>
    </xf>
    <xf numFmtId="171" fontId="77" fillId="42" borderId="71" xfId="218" applyNumberFormat="1" applyFont="1" applyFill="1" applyBorder="1" applyAlignment="1"/>
    <xf numFmtId="0" fontId="55" fillId="27" borderId="23" xfId="227" applyFont="1" applyFill="1" applyBorder="1" applyAlignment="1">
      <alignment horizontal="center" vertical="center"/>
    </xf>
    <xf numFmtId="0" fontId="55" fillId="27" borderId="24" xfId="227" applyFont="1" applyFill="1" applyBorder="1" applyAlignment="1">
      <alignment horizontal="left" vertical="center" wrapText="1"/>
    </xf>
    <xf numFmtId="0" fontId="55" fillId="27" borderId="24" xfId="227" applyFont="1" applyFill="1" applyBorder="1" applyAlignment="1">
      <alignment horizontal="center" vertical="center"/>
    </xf>
    <xf numFmtId="168" fontId="55" fillId="27" borderId="24" xfId="229" applyNumberFormat="1" applyFont="1" applyFill="1" applyBorder="1" applyAlignment="1">
      <alignment horizontal="center" vertical="center"/>
    </xf>
    <xf numFmtId="9" fontId="55" fillId="27" borderId="24" xfId="229" applyFont="1" applyFill="1" applyBorder="1" applyAlignment="1">
      <alignment horizontal="center" vertical="center"/>
    </xf>
    <xf numFmtId="0" fontId="55" fillId="27" borderId="24" xfId="227" applyFont="1" applyFill="1" applyBorder="1"/>
    <xf numFmtId="170" fontId="55" fillId="27" borderId="24" xfId="227" applyNumberFormat="1" applyFont="1" applyFill="1" applyBorder="1" applyAlignment="1">
      <alignment horizontal="center" vertical="center"/>
    </xf>
    <xf numFmtId="0" fontId="55" fillId="27" borderId="24" xfId="1" applyNumberFormat="1" applyFont="1" applyFill="1" applyBorder="1" applyAlignment="1">
      <alignment horizontal="center" vertical="center"/>
    </xf>
    <xf numFmtId="170" fontId="55" fillId="27" borderId="24" xfId="1" applyNumberFormat="1" applyFont="1" applyFill="1" applyBorder="1" applyAlignment="1">
      <alignment horizontal="center" vertical="center" wrapText="1"/>
    </xf>
    <xf numFmtId="172" fontId="55" fillId="27" borderId="24" xfId="227" applyNumberFormat="1" applyFont="1" applyFill="1" applyBorder="1" applyAlignment="1">
      <alignment horizontal="center" vertical="center"/>
    </xf>
    <xf numFmtId="170" fontId="55" fillId="27" borderId="24" xfId="228" applyNumberFormat="1" applyFont="1" applyFill="1" applyBorder="1" applyAlignment="1">
      <alignment horizontal="center" vertical="center"/>
    </xf>
    <xf numFmtId="0" fontId="55" fillId="27" borderId="24" xfId="96" applyFont="1" applyFill="1" applyBorder="1" applyAlignment="1">
      <alignment horizontal="center" vertical="center"/>
    </xf>
    <xf numFmtId="173" fontId="55" fillId="27" borderId="24" xfId="88" applyNumberFormat="1" applyFont="1" applyFill="1" applyBorder="1" applyAlignment="1">
      <alignment horizontal="center" vertical="center"/>
    </xf>
    <xf numFmtId="170" fontId="55" fillId="27" borderId="46" xfId="228" applyNumberFormat="1" applyFont="1" applyFill="1" applyBorder="1" applyAlignment="1">
      <alignment horizontal="center" vertical="center"/>
    </xf>
    <xf numFmtId="0" fontId="55" fillId="27" borderId="25" xfId="227" applyFont="1" applyFill="1" applyBorder="1" applyAlignment="1">
      <alignment horizontal="center" vertical="center"/>
    </xf>
    <xf numFmtId="168" fontId="55" fillId="27" borderId="0" xfId="229" applyNumberFormat="1" applyFont="1" applyFill="1" applyBorder="1" applyAlignment="1">
      <alignment horizontal="center" vertical="center"/>
    </xf>
    <xf numFmtId="9" fontId="55" fillId="27" borderId="0" xfId="229" applyFont="1" applyFill="1" applyBorder="1" applyAlignment="1">
      <alignment horizontal="center" vertical="center"/>
    </xf>
    <xf numFmtId="0" fontId="55" fillId="27" borderId="0" xfId="1" applyNumberFormat="1" applyFont="1" applyFill="1" applyBorder="1" applyAlignment="1">
      <alignment horizontal="center" vertical="center"/>
    </xf>
    <xf numFmtId="0" fontId="55" fillId="27" borderId="0" xfId="228" applyNumberFormat="1" applyFont="1" applyFill="1" applyBorder="1" applyAlignment="1">
      <alignment horizontal="center" vertical="center"/>
    </xf>
    <xf numFmtId="170" fontId="55" fillId="27" borderId="0" xfId="1" applyNumberFormat="1" applyFont="1" applyFill="1" applyBorder="1" applyAlignment="1">
      <alignment horizontal="center" vertical="center" wrapText="1"/>
    </xf>
    <xf numFmtId="170" fontId="55" fillId="27" borderId="0" xfId="228" applyNumberFormat="1" applyFont="1" applyFill="1" applyBorder="1" applyAlignment="1">
      <alignment horizontal="center" vertical="center"/>
    </xf>
    <xf numFmtId="0" fontId="55" fillId="27" borderId="49" xfId="227" applyFont="1" applyFill="1" applyBorder="1"/>
    <xf numFmtId="173" fontId="55" fillId="27" borderId="0" xfId="88" applyNumberFormat="1" applyFont="1" applyFill="1" applyBorder="1" applyAlignment="1">
      <alignment horizontal="center" vertical="center"/>
    </xf>
    <xf numFmtId="170" fontId="55" fillId="27" borderId="49" xfId="228" applyNumberFormat="1" applyFont="1" applyFill="1" applyBorder="1" applyAlignment="1">
      <alignment horizontal="center" vertical="center"/>
    </xf>
    <xf numFmtId="0" fontId="55" fillId="27" borderId="50" xfId="227" applyFont="1" applyFill="1" applyBorder="1" applyAlignment="1">
      <alignment horizontal="center" vertical="center"/>
    </xf>
    <xf numFmtId="0" fontId="55" fillId="27" borderId="51" xfId="227" applyFont="1" applyFill="1" applyBorder="1" applyAlignment="1">
      <alignment horizontal="left" vertical="center" wrapText="1"/>
    </xf>
    <xf numFmtId="0" fontId="55" fillId="27" borderId="51" xfId="227" applyFont="1" applyFill="1" applyBorder="1" applyAlignment="1">
      <alignment horizontal="center" vertical="center"/>
    </xf>
    <xf numFmtId="9" fontId="55" fillId="27" borderId="51" xfId="229" applyFont="1" applyFill="1" applyBorder="1" applyAlignment="1">
      <alignment horizontal="center" vertical="center"/>
    </xf>
    <xf numFmtId="0" fontId="55" fillId="27" borderId="51" xfId="227" applyFont="1" applyFill="1" applyBorder="1"/>
    <xf numFmtId="170" fontId="55" fillId="27" borderId="51" xfId="227" applyNumberFormat="1" applyFont="1" applyFill="1" applyBorder="1" applyAlignment="1">
      <alignment horizontal="center" vertical="center"/>
    </xf>
    <xf numFmtId="0" fontId="55" fillId="27" borderId="51" xfId="1" applyNumberFormat="1" applyFont="1" applyFill="1" applyBorder="1" applyAlignment="1">
      <alignment horizontal="center" vertical="center"/>
    </xf>
    <xf numFmtId="0" fontId="55" fillId="27" borderId="51" xfId="228" applyNumberFormat="1" applyFont="1" applyFill="1" applyBorder="1" applyAlignment="1">
      <alignment horizontal="center" vertical="center"/>
    </xf>
    <xf numFmtId="170" fontId="55" fillId="27" borderId="51" xfId="1" applyNumberFormat="1" applyFont="1" applyFill="1" applyBorder="1" applyAlignment="1">
      <alignment horizontal="center" vertical="center" wrapText="1"/>
    </xf>
    <xf numFmtId="172" fontId="55" fillId="27" borderId="51" xfId="227" applyNumberFormat="1" applyFont="1" applyFill="1" applyBorder="1" applyAlignment="1">
      <alignment horizontal="center" vertical="center"/>
    </xf>
    <xf numFmtId="170" fontId="55" fillId="27" borderId="51" xfId="228" applyNumberFormat="1" applyFont="1" applyFill="1" applyBorder="1" applyAlignment="1">
      <alignment horizontal="center" vertical="center"/>
    </xf>
    <xf numFmtId="0" fontId="55" fillId="27" borderId="51" xfId="96" applyFont="1" applyFill="1" applyBorder="1" applyAlignment="1">
      <alignment horizontal="center" vertical="center"/>
    </xf>
    <xf numFmtId="173" fontId="55" fillId="27" borderId="51" xfId="88" applyNumberFormat="1" applyFont="1" applyFill="1" applyBorder="1" applyAlignment="1">
      <alignment horizontal="center" vertical="center"/>
    </xf>
    <xf numFmtId="170" fontId="55" fillId="27" borderId="52" xfId="228" applyNumberFormat="1" applyFont="1" applyFill="1" applyBorder="1" applyAlignment="1">
      <alignment horizontal="center" vertical="center"/>
    </xf>
    <xf numFmtId="0" fontId="55" fillId="27" borderId="53" xfId="227" applyFont="1" applyFill="1" applyBorder="1" applyAlignment="1">
      <alignment horizontal="center" vertical="center"/>
    </xf>
    <xf numFmtId="0" fontId="55" fillId="27" borderId="54" xfId="227" applyFont="1" applyFill="1" applyBorder="1" applyAlignment="1">
      <alignment horizontal="left" vertical="center" wrapText="1"/>
    </xf>
    <xf numFmtId="0" fontId="55" fillId="27" borderId="54" xfId="227" applyFont="1" applyFill="1" applyBorder="1" applyAlignment="1">
      <alignment horizontal="center" vertical="center"/>
    </xf>
    <xf numFmtId="168" fontId="55" fillId="27" borderId="54" xfId="229" applyNumberFormat="1" applyFont="1" applyFill="1" applyBorder="1" applyAlignment="1">
      <alignment horizontal="center" vertical="center"/>
    </xf>
    <xf numFmtId="9" fontId="55" fillId="27" borderId="54" xfId="229" applyFont="1" applyFill="1" applyBorder="1" applyAlignment="1">
      <alignment horizontal="center" vertical="center"/>
    </xf>
    <xf numFmtId="0" fontId="55" fillId="27" borderId="54" xfId="227" applyFont="1" applyFill="1" applyBorder="1"/>
    <xf numFmtId="170" fontId="55" fillId="27" borderId="54" xfId="1" applyNumberFormat="1" applyFont="1" applyFill="1" applyBorder="1" applyAlignment="1">
      <alignment horizontal="center" vertical="center" wrapText="1"/>
    </xf>
    <xf numFmtId="0" fontId="55" fillId="27" borderId="54" xfId="1" applyNumberFormat="1" applyFont="1" applyFill="1" applyBorder="1" applyAlignment="1">
      <alignment horizontal="center" vertical="center"/>
    </xf>
    <xf numFmtId="0" fontId="55" fillId="27" borderId="54" xfId="228" applyNumberFormat="1" applyFont="1" applyFill="1" applyBorder="1" applyAlignment="1">
      <alignment horizontal="center" vertical="center"/>
    </xf>
    <xf numFmtId="172" fontId="55" fillId="27" borderId="54" xfId="227" applyNumberFormat="1" applyFont="1" applyFill="1" applyBorder="1" applyAlignment="1">
      <alignment horizontal="center" vertical="center"/>
    </xf>
    <xf numFmtId="170" fontId="55" fillId="27" borderId="54" xfId="228" applyNumberFormat="1" applyFont="1" applyFill="1" applyBorder="1" applyAlignment="1">
      <alignment horizontal="center" vertical="center"/>
    </xf>
    <xf numFmtId="0" fontId="55" fillId="27" borderId="54" xfId="96" applyFont="1" applyFill="1" applyBorder="1" applyAlignment="1">
      <alignment horizontal="center" vertical="center"/>
    </xf>
    <xf numFmtId="173" fontId="55" fillId="27" borderId="54" xfId="88" applyNumberFormat="1" applyFont="1" applyFill="1" applyBorder="1" applyAlignment="1">
      <alignment horizontal="center" vertical="center"/>
    </xf>
    <xf numFmtId="170" fontId="55" fillId="27" borderId="55" xfId="228" applyNumberFormat="1" applyFont="1" applyFill="1" applyBorder="1" applyAlignment="1">
      <alignment horizontal="center" vertical="center"/>
    </xf>
    <xf numFmtId="0" fontId="54" fillId="27" borderId="51" xfId="227" applyFont="1" applyFill="1" applyBorder="1" applyAlignment="1">
      <alignment horizontal="center" vertical="center"/>
    </xf>
    <xf numFmtId="0" fontId="54" fillId="27" borderId="51" xfId="227" applyFont="1" applyFill="1" applyBorder="1" applyAlignment="1">
      <alignment horizontal="center" vertical="center" wrapText="1"/>
    </xf>
    <xf numFmtId="165" fontId="54" fillId="27" borderId="51" xfId="228" applyFont="1" applyFill="1" applyBorder="1" applyAlignment="1">
      <alignment horizontal="center" vertical="center" wrapText="1"/>
    </xf>
    <xf numFmtId="167" fontId="54" fillId="27" borderId="52" xfId="227" applyNumberFormat="1" applyFont="1" applyFill="1" applyBorder="1" applyAlignment="1">
      <alignment horizontal="center" vertical="center" wrapText="1"/>
    </xf>
    <xf numFmtId="0" fontId="54" fillId="27" borderId="81" xfId="227" applyFont="1" applyFill="1" applyBorder="1" applyAlignment="1">
      <alignment horizontal="center" vertical="center"/>
    </xf>
    <xf numFmtId="0" fontId="54" fillId="29" borderId="83" xfId="227" applyFont="1" applyFill="1" applyBorder="1" applyAlignment="1">
      <alignment horizontal="center" vertical="center"/>
    </xf>
    <xf numFmtId="0" fontId="54" fillId="29" borderId="84" xfId="227" applyFont="1" applyFill="1" applyBorder="1" applyAlignment="1">
      <alignment horizontal="center" vertical="center" wrapText="1"/>
    </xf>
    <xf numFmtId="0" fontId="54" fillId="37" borderId="56" xfId="227" applyFont="1" applyFill="1" applyBorder="1" applyAlignment="1">
      <alignment horizontal="center" vertical="center" wrapText="1"/>
    </xf>
    <xf numFmtId="0" fontId="54" fillId="27" borderId="79" xfId="220" applyFont="1" applyFill="1" applyBorder="1" applyAlignment="1">
      <alignment horizontal="center" vertical="center"/>
    </xf>
    <xf numFmtId="0" fontId="54" fillId="27" borderId="80" xfId="220" applyFont="1" applyFill="1" applyBorder="1" applyAlignment="1">
      <alignment horizontal="left" vertical="center"/>
    </xf>
    <xf numFmtId="0" fontId="54" fillId="27" borderId="80" xfId="220" applyFont="1" applyFill="1" applyBorder="1" applyAlignment="1">
      <alignment horizontal="center" vertical="center"/>
    </xf>
    <xf numFmtId="0" fontId="54" fillId="27" borderId="80" xfId="220" applyFont="1" applyFill="1" applyBorder="1" applyAlignment="1">
      <alignment horizontal="center" vertical="center" wrapText="1"/>
    </xf>
    <xf numFmtId="165" fontId="54" fillId="27" borderId="80" xfId="222" applyFont="1" applyFill="1" applyBorder="1" applyAlignment="1">
      <alignment horizontal="center" vertical="center"/>
    </xf>
    <xf numFmtId="0" fontId="54" fillId="27" borderId="78" xfId="220" applyFont="1" applyFill="1" applyBorder="1" applyAlignment="1">
      <alignment horizontal="center" vertical="center"/>
    </xf>
    <xf numFmtId="0" fontId="55" fillId="27" borderId="25" xfId="220" applyFont="1" applyFill="1" applyBorder="1" applyAlignment="1">
      <alignment horizontal="center" vertical="center"/>
    </xf>
    <xf numFmtId="0" fontId="55" fillId="27" borderId="0" xfId="220" applyFont="1" applyFill="1" applyAlignment="1">
      <alignment horizontal="left" vertical="center"/>
    </xf>
    <xf numFmtId="0" fontId="55" fillId="27" borderId="0" xfId="220" applyFont="1" applyFill="1" applyAlignment="1">
      <alignment horizontal="left" vertical="center" wrapText="1"/>
    </xf>
    <xf numFmtId="0" fontId="55" fillId="27" borderId="0" xfId="220" applyFont="1" applyFill="1" applyAlignment="1">
      <alignment horizontal="center" vertical="center"/>
    </xf>
    <xf numFmtId="0" fontId="57" fillId="27" borderId="50" xfId="220" applyFont="1" applyFill="1" applyBorder="1"/>
    <xf numFmtId="0" fontId="55" fillId="27" borderId="51" xfId="220" applyFont="1" applyFill="1" applyBorder="1"/>
    <xf numFmtId="170" fontId="55" fillId="27" borderId="51" xfId="220" applyNumberFormat="1" applyFont="1" applyFill="1" applyBorder="1" applyAlignment="1">
      <alignment horizontal="right" vertical="center"/>
    </xf>
    <xf numFmtId="170" fontId="55" fillId="27" borderId="51" xfId="222" applyNumberFormat="1" applyFont="1" applyFill="1" applyBorder="1" applyAlignment="1">
      <alignment horizontal="center" vertical="center"/>
    </xf>
    <xf numFmtId="170" fontId="55" fillId="27" borderId="52" xfId="222" applyNumberFormat="1" applyFont="1" applyFill="1" applyBorder="1" applyAlignment="1">
      <alignment horizontal="center" vertical="center"/>
    </xf>
    <xf numFmtId="0" fontId="55" fillId="27" borderId="50" xfId="220" applyFont="1" applyFill="1" applyBorder="1" applyAlignment="1">
      <alignment horizontal="center" vertical="center"/>
    </xf>
    <xf numFmtId="0" fontId="55" fillId="27" borderId="51" xfId="220" applyFont="1" applyFill="1" applyBorder="1" applyAlignment="1">
      <alignment horizontal="left" vertical="center"/>
    </xf>
    <xf numFmtId="0" fontId="55" fillId="27" borderId="51" xfId="220" applyFont="1" applyFill="1" applyBorder="1" applyAlignment="1">
      <alignment horizontal="left" vertical="center" wrapText="1"/>
    </xf>
    <xf numFmtId="0" fontId="55" fillId="27" borderId="51" xfId="220" applyFont="1" applyFill="1" applyBorder="1" applyAlignment="1">
      <alignment horizontal="center" vertical="center"/>
    </xf>
    <xf numFmtId="9" fontId="55" fillId="27" borderId="51" xfId="221" applyFont="1" applyFill="1" applyBorder="1" applyAlignment="1">
      <alignment horizontal="center" vertical="center"/>
    </xf>
    <xf numFmtId="170" fontId="55" fillId="27" borderId="52" xfId="222" applyNumberFormat="1" applyFont="1" applyFill="1" applyBorder="1" applyAlignment="1">
      <alignment horizontal="right" vertical="center"/>
    </xf>
    <xf numFmtId="0" fontId="54" fillId="27" borderId="45" xfId="220" applyFont="1" applyFill="1" applyBorder="1" applyAlignment="1">
      <alignment horizontal="center" vertical="center"/>
    </xf>
    <xf numFmtId="0" fontId="54" fillId="27" borderId="7" xfId="220" applyFont="1" applyFill="1" applyBorder="1" applyAlignment="1">
      <alignment horizontal="left" vertical="center"/>
    </xf>
    <xf numFmtId="0" fontId="54" fillId="27" borderId="7" xfId="220" applyFont="1" applyFill="1" applyBorder="1" applyAlignment="1">
      <alignment horizontal="center" vertical="center"/>
    </xf>
    <xf numFmtId="0" fontId="54" fillId="27" borderId="7" xfId="220" applyFont="1" applyFill="1" applyBorder="1" applyAlignment="1">
      <alignment horizontal="center" vertical="center" wrapText="1"/>
    </xf>
    <xf numFmtId="165" fontId="54" fillId="27" borderId="7" xfId="222" applyFont="1" applyFill="1" applyBorder="1" applyAlignment="1">
      <alignment horizontal="center"/>
    </xf>
    <xf numFmtId="0" fontId="54" fillId="27" borderId="48" xfId="220" applyFont="1" applyFill="1" applyBorder="1" applyAlignment="1">
      <alignment horizontal="center" vertical="center" wrapText="1"/>
    </xf>
    <xf numFmtId="0" fontId="55" fillId="32" borderId="53" xfId="220" applyFont="1" applyFill="1" applyBorder="1"/>
    <xf numFmtId="0" fontId="54" fillId="32" borderId="54" xfId="220" applyFont="1" applyFill="1" applyBorder="1"/>
    <xf numFmtId="0" fontId="55" fillId="32" borderId="54" xfId="220" applyFont="1" applyFill="1" applyBorder="1"/>
    <xf numFmtId="0" fontId="54" fillId="32" borderId="54" xfId="220" applyFont="1" applyFill="1" applyBorder="1" applyAlignment="1">
      <alignment horizontal="center" vertical="center"/>
    </xf>
    <xf numFmtId="165" fontId="55" fillId="32" borderId="54" xfId="1" applyFont="1" applyFill="1" applyBorder="1"/>
    <xf numFmtId="0" fontId="54" fillId="32" borderId="55" xfId="220" applyFont="1" applyFill="1" applyBorder="1" applyAlignment="1">
      <alignment horizontal="center" vertical="center" wrapText="1"/>
    </xf>
    <xf numFmtId="0" fontId="55" fillId="27" borderId="50" xfId="220" applyFont="1" applyFill="1" applyBorder="1"/>
    <xf numFmtId="2" fontId="33" fillId="0" borderId="72" xfId="87" applyNumberFormat="1" applyFont="1" applyBorder="1" applyAlignment="1">
      <alignment horizontal="right" vertical="center"/>
    </xf>
    <xf numFmtId="166" fontId="33" fillId="0" borderId="81" xfId="87" applyNumberFormat="1" applyFont="1" applyBorder="1" applyAlignment="1">
      <alignment horizontal="right" vertical="center"/>
    </xf>
    <xf numFmtId="0" fontId="79" fillId="31" borderId="40" xfId="0" applyFont="1" applyFill="1" applyBorder="1"/>
    <xf numFmtId="0" fontId="78" fillId="31" borderId="60" xfId="0" applyFont="1" applyFill="1" applyBorder="1"/>
    <xf numFmtId="0" fontId="79" fillId="31" borderId="18" xfId="0" applyFont="1" applyFill="1" applyBorder="1"/>
    <xf numFmtId="0" fontId="78" fillId="0" borderId="18" xfId="0" applyFont="1" applyBorder="1"/>
    <xf numFmtId="10" fontId="78" fillId="0" borderId="18" xfId="81" applyNumberFormat="1" applyFont="1" applyFill="1" applyBorder="1"/>
    <xf numFmtId="0" fontId="78" fillId="0" borderId="18" xfId="0" applyFont="1" applyBorder="1" applyAlignment="1">
      <alignment wrapText="1"/>
    </xf>
    <xf numFmtId="0" fontId="79" fillId="0" borderId="0" xfId="0" applyFont="1"/>
    <xf numFmtId="0" fontId="78" fillId="27" borderId="40" xfId="0" applyFont="1" applyFill="1" applyBorder="1"/>
    <xf numFmtId="0" fontId="78" fillId="27" borderId="41" xfId="0" applyFont="1" applyFill="1" applyBorder="1"/>
    <xf numFmtId="0" fontId="78" fillId="27" borderId="60" xfId="0" applyFont="1" applyFill="1" applyBorder="1"/>
    <xf numFmtId="0" fontId="78" fillId="27" borderId="29" xfId="0" applyFont="1" applyFill="1" applyBorder="1"/>
    <xf numFmtId="0" fontId="78" fillId="27" borderId="0" xfId="0" applyFont="1" applyFill="1"/>
    <xf numFmtId="0" fontId="78" fillId="27" borderId="3" xfId="0" applyFont="1" applyFill="1" applyBorder="1"/>
    <xf numFmtId="10" fontId="78" fillId="0" borderId="0" xfId="0" applyNumberFormat="1" applyFont="1"/>
    <xf numFmtId="10" fontId="79" fillId="0" borderId="0" xfId="81" applyNumberFormat="1" applyFont="1" applyBorder="1"/>
    <xf numFmtId="168" fontId="78" fillId="0" borderId="0" xfId="0" applyNumberFormat="1" applyFont="1"/>
    <xf numFmtId="9" fontId="78" fillId="0" borderId="0" xfId="81" applyFont="1" applyFill="1" applyBorder="1"/>
    <xf numFmtId="10" fontId="78" fillId="0" borderId="0" xfId="81" applyNumberFormat="1" applyFont="1" applyFill="1" applyBorder="1"/>
    <xf numFmtId="0" fontId="79" fillId="32" borderId="79" xfId="0" applyFont="1" applyFill="1" applyBorder="1"/>
    <xf numFmtId="0" fontId="79" fillId="32" borderId="78" xfId="0" applyFont="1" applyFill="1" applyBorder="1"/>
    <xf numFmtId="9" fontId="82" fillId="0" borderId="49" xfId="81" applyFont="1" applyBorder="1"/>
    <xf numFmtId="9" fontId="82" fillId="27" borderId="49" xfId="81" applyFont="1" applyFill="1" applyBorder="1"/>
    <xf numFmtId="9" fontId="82" fillId="27" borderId="52" xfId="81" applyFont="1" applyFill="1" applyBorder="1"/>
    <xf numFmtId="0" fontId="80" fillId="40" borderId="30" xfId="0" applyFont="1" applyFill="1" applyBorder="1"/>
    <xf numFmtId="0" fontId="80" fillId="40" borderId="63" xfId="0" applyFont="1" applyFill="1" applyBorder="1"/>
    <xf numFmtId="0" fontId="80" fillId="32" borderId="34" xfId="0" applyFont="1" applyFill="1" applyBorder="1"/>
    <xf numFmtId="165" fontId="80" fillId="32" borderId="64" xfId="1" applyFont="1" applyFill="1" applyBorder="1"/>
    <xf numFmtId="10" fontId="59" fillId="38" borderId="29" xfId="225" applyNumberFormat="1" applyFont="1" applyFill="1" applyBorder="1" applyAlignment="1">
      <alignment horizontal="center"/>
    </xf>
    <xf numFmtId="0" fontId="78" fillId="0" borderId="29" xfId="0" applyFont="1" applyBorder="1"/>
    <xf numFmtId="0" fontId="78" fillId="0" borderId="3" xfId="0" applyFont="1" applyBorder="1"/>
    <xf numFmtId="0" fontId="78" fillId="0" borderId="0" xfId="0" applyFont="1" applyAlignment="1">
      <alignment horizontal="left" indent="7"/>
    </xf>
    <xf numFmtId="10" fontId="78" fillId="0" borderId="0" xfId="81" applyNumberFormat="1" applyFont="1" applyBorder="1"/>
    <xf numFmtId="0" fontId="55" fillId="0" borderId="0" xfId="0" quotePrefix="1" applyFont="1" applyAlignment="1">
      <alignment vertical="top" wrapText="1"/>
    </xf>
    <xf numFmtId="0" fontId="79" fillId="0" borderId="3" xfId="0" applyFont="1" applyBorder="1"/>
    <xf numFmtId="0" fontId="78" fillId="0" borderId="44" xfId="0" applyFont="1" applyBorder="1"/>
    <xf numFmtId="0" fontId="78" fillId="0" borderId="7" xfId="0" applyFont="1" applyBorder="1"/>
    <xf numFmtId="0" fontId="78" fillId="0" borderId="7" xfId="0" applyFont="1" applyBorder="1" applyAlignment="1">
      <alignment horizontal="left" indent="7"/>
    </xf>
    <xf numFmtId="10" fontId="78" fillId="0" borderId="7" xfId="81" applyNumberFormat="1" applyFont="1" applyFill="1" applyBorder="1"/>
    <xf numFmtId="0" fontId="78" fillId="0" borderId="26" xfId="0" applyFont="1" applyBorder="1"/>
    <xf numFmtId="0" fontId="78" fillId="27" borderId="18" xfId="0" applyFont="1" applyFill="1" applyBorder="1"/>
    <xf numFmtId="0" fontId="79" fillId="0" borderId="20" xfId="0" applyFont="1" applyBorder="1"/>
    <xf numFmtId="0" fontId="78" fillId="0" borderId="21" xfId="0" applyFont="1" applyBorder="1"/>
    <xf numFmtId="0" fontId="79" fillId="31" borderId="20" xfId="0" applyFont="1" applyFill="1" applyBorder="1"/>
    <xf numFmtId="0" fontId="78" fillId="31" borderId="21" xfId="0" applyFont="1" applyFill="1" applyBorder="1"/>
    <xf numFmtId="10" fontId="78" fillId="27" borderId="21" xfId="0" applyNumberFormat="1" applyFont="1" applyFill="1" applyBorder="1"/>
    <xf numFmtId="0" fontId="78" fillId="0" borderId="20" xfId="0" applyFont="1" applyBorder="1"/>
    <xf numFmtId="10" fontId="78" fillId="0" borderId="21" xfId="0" applyNumberFormat="1" applyFont="1" applyBorder="1"/>
    <xf numFmtId="0" fontId="79" fillId="46" borderId="23" xfId="0" applyFont="1" applyFill="1" applyBorder="1" applyAlignment="1">
      <alignment horizontal="center"/>
    </xf>
    <xf numFmtId="0" fontId="77" fillId="46" borderId="72" xfId="0" applyFont="1" applyFill="1" applyBorder="1" applyAlignment="1">
      <alignment horizontal="center" wrapText="1"/>
    </xf>
    <xf numFmtId="174" fontId="77" fillId="46" borderId="75" xfId="218" applyNumberFormat="1" applyFont="1" applyFill="1" applyBorder="1" applyAlignment="1">
      <alignment horizontal="center"/>
    </xf>
    <xf numFmtId="0" fontId="77" fillId="47" borderId="61" xfId="0" applyFont="1" applyFill="1" applyBorder="1" applyAlignment="1">
      <alignment horizontal="left"/>
    </xf>
    <xf numFmtId="0" fontId="79" fillId="46" borderId="23" xfId="0" applyFont="1" applyFill="1" applyBorder="1"/>
    <xf numFmtId="174" fontId="77" fillId="46" borderId="71" xfId="218" applyNumberFormat="1" applyFont="1" applyFill="1" applyBorder="1" applyAlignment="1">
      <alignment horizontal="center"/>
    </xf>
    <xf numFmtId="0" fontId="77" fillId="46" borderId="46" xfId="0" applyFont="1" applyFill="1" applyBorder="1" applyAlignment="1">
      <alignment horizontal="center" wrapText="1"/>
    </xf>
    <xf numFmtId="171" fontId="77" fillId="46" borderId="62" xfId="218" applyNumberFormat="1" applyFont="1" applyFill="1" applyBorder="1" applyAlignment="1"/>
    <xf numFmtId="0" fontId="77" fillId="42" borderId="78" xfId="0" applyFont="1" applyFill="1" applyBorder="1" applyAlignment="1">
      <alignment horizontal="center" wrapText="1"/>
    </xf>
    <xf numFmtId="0" fontId="72" fillId="0" borderId="51" xfId="0" applyFont="1" applyBorder="1" applyAlignment="1">
      <alignment horizontal="left"/>
    </xf>
    <xf numFmtId="167" fontId="54" fillId="0" borderId="0" xfId="227" applyNumberFormat="1" applyFont="1" applyAlignment="1">
      <alignment horizontal="center" vertical="center" wrapText="1"/>
    </xf>
    <xf numFmtId="170" fontId="55" fillId="0" borderId="0" xfId="228" applyNumberFormat="1" applyFont="1" applyFill="1" applyBorder="1" applyAlignment="1">
      <alignment horizontal="center" vertical="center"/>
    </xf>
    <xf numFmtId="0" fontId="55" fillId="0" borderId="0" xfId="227" applyFont="1" applyAlignment="1">
      <alignment horizontal="center" vertical="center" wrapText="1"/>
    </xf>
    <xf numFmtId="0" fontId="84" fillId="0" borderId="0" xfId="227" applyFont="1"/>
    <xf numFmtId="168" fontId="55" fillId="0" borderId="51" xfId="229" applyNumberFormat="1" applyFont="1" applyFill="1" applyBorder="1" applyAlignment="1">
      <alignment horizontal="center" vertical="center"/>
    </xf>
    <xf numFmtId="170" fontId="55" fillId="27" borderId="54" xfId="227" applyNumberFormat="1" applyFont="1" applyFill="1" applyBorder="1" applyAlignment="1">
      <alignment horizontal="center" vertical="center"/>
    </xf>
    <xf numFmtId="170" fontId="55" fillId="27" borderId="51" xfId="1" applyNumberFormat="1" applyFont="1" applyFill="1" applyBorder="1" applyAlignment="1">
      <alignment horizontal="center" vertical="center"/>
    </xf>
    <xf numFmtId="0" fontId="55" fillId="27" borderId="85" xfId="220" applyFont="1" applyFill="1" applyBorder="1" applyAlignment="1">
      <alignment horizontal="center" vertical="center"/>
    </xf>
    <xf numFmtId="0" fontId="55" fillId="27" borderId="66" xfId="220" applyFont="1" applyFill="1" applyBorder="1" applyAlignment="1">
      <alignment horizontal="left" vertical="center"/>
    </xf>
    <xf numFmtId="0" fontId="55" fillId="27" borderId="66" xfId="220" applyFont="1" applyFill="1" applyBorder="1" applyAlignment="1">
      <alignment horizontal="left" vertical="center" wrapText="1"/>
    </xf>
    <xf numFmtId="0" fontId="55" fillId="27" borderId="66" xfId="220" applyFont="1" applyFill="1" applyBorder="1" applyAlignment="1">
      <alignment horizontal="center" vertical="center"/>
    </xf>
    <xf numFmtId="0" fontId="55" fillId="27" borderId="87" xfId="220" applyFont="1" applyFill="1" applyBorder="1" applyAlignment="1">
      <alignment horizontal="center" vertical="center"/>
    </xf>
    <xf numFmtId="0" fontId="55" fillId="27" borderId="88" xfId="220" applyFont="1" applyFill="1" applyBorder="1" applyAlignment="1">
      <alignment horizontal="left" vertical="center"/>
    </xf>
    <xf numFmtId="0" fontId="55" fillId="27" borderId="88" xfId="220" applyFont="1" applyFill="1" applyBorder="1" applyAlignment="1">
      <alignment horizontal="left" vertical="center" wrapText="1"/>
    </xf>
    <xf numFmtId="0" fontId="55" fillId="27" borderId="88" xfId="220" applyFont="1" applyFill="1" applyBorder="1" applyAlignment="1">
      <alignment horizontal="center" vertical="center"/>
    </xf>
    <xf numFmtId="0" fontId="55" fillId="27" borderId="85" xfId="220" applyFont="1" applyFill="1" applyBorder="1"/>
    <xf numFmtId="0" fontId="85" fillId="0" borderId="0" xfId="227" applyFont="1" applyAlignment="1">
      <alignment horizontal="left" vertical="center" wrapText="1"/>
    </xf>
    <xf numFmtId="0" fontId="81" fillId="0" borderId="0" xfId="220" applyFont="1"/>
    <xf numFmtId="0" fontId="86" fillId="0" borderId="0" xfId="0" applyFont="1" applyAlignment="1">
      <alignment horizontal="center" vertical="center" wrapText="1"/>
    </xf>
    <xf numFmtId="0" fontId="55" fillId="0" borderId="66" xfId="220" applyFont="1" applyBorder="1"/>
    <xf numFmtId="165" fontId="55" fillId="0" borderId="0" xfId="220" applyNumberFormat="1" applyFont="1"/>
    <xf numFmtId="0" fontId="0" fillId="51" borderId="18" xfId="0" applyFill="1" applyBorder="1"/>
    <xf numFmtId="0" fontId="32" fillId="0" borderId="8" xfId="0" applyFont="1" applyBorder="1" applyAlignment="1">
      <alignment horizontal="left" vertical="center"/>
    </xf>
    <xf numFmtId="0" fontId="0" fillId="29" borderId="27" xfId="0" applyFill="1" applyBorder="1" applyAlignment="1">
      <alignment horizontal="center" vertical="center"/>
    </xf>
    <xf numFmtId="170" fontId="0" fillId="29" borderId="27" xfId="0" applyNumberFormat="1" applyFill="1" applyBorder="1" applyAlignment="1">
      <alignment horizontal="center" vertical="center"/>
    </xf>
    <xf numFmtId="170" fontId="32" fillId="0" borderId="8" xfId="0" applyNumberFormat="1" applyFont="1" applyBorder="1" applyAlignment="1">
      <alignment horizontal="center" vertical="center"/>
    </xf>
    <xf numFmtId="0" fontId="0" fillId="0" borderId="18" xfId="0" applyBorder="1"/>
    <xf numFmtId="0" fontId="0" fillId="52" borderId="0" xfId="0" applyFill="1"/>
    <xf numFmtId="0" fontId="0" fillId="39" borderId="0" xfId="0" applyFill="1"/>
    <xf numFmtId="0" fontId="84" fillId="0" borderId="7" xfId="220" applyFont="1" applyBorder="1" applyAlignment="1">
      <alignment horizontal="center"/>
    </xf>
    <xf numFmtId="170" fontId="84" fillId="0" borderId="7" xfId="220" applyNumberFormat="1" applyFont="1" applyBorder="1" applyAlignment="1">
      <alignment horizontal="center"/>
    </xf>
    <xf numFmtId="165" fontId="87" fillId="0" borderId="7" xfId="1" applyFont="1" applyBorder="1" applyAlignment="1">
      <alignment horizontal="center"/>
    </xf>
    <xf numFmtId="170" fontId="87" fillId="0" borderId="7" xfId="222" applyNumberFormat="1" applyFont="1" applyBorder="1" applyAlignment="1">
      <alignment horizontal="center"/>
    </xf>
    <xf numFmtId="170" fontId="84" fillId="0" borderId="7" xfId="222" applyNumberFormat="1" applyFont="1" applyBorder="1" applyAlignment="1">
      <alignment horizontal="center"/>
    </xf>
    <xf numFmtId="165" fontId="84" fillId="0" borderId="7" xfId="222" applyFont="1" applyBorder="1" applyAlignment="1">
      <alignment horizontal="center"/>
    </xf>
    <xf numFmtId="0" fontId="87" fillId="0" borderId="7" xfId="220" applyFont="1" applyBorder="1"/>
    <xf numFmtId="170" fontId="8" fillId="24" borderId="33" xfId="0" applyNumberFormat="1" applyFont="1" applyFill="1" applyBorder="1"/>
    <xf numFmtId="165" fontId="55" fillId="0" borderId="0" xfId="1" applyFont="1" applyFill="1" applyBorder="1"/>
    <xf numFmtId="165" fontId="55" fillId="0" borderId="66" xfId="1" applyFont="1" applyFill="1" applyBorder="1"/>
    <xf numFmtId="0" fontId="55" fillId="0" borderId="51" xfId="220" applyFont="1" applyBorder="1"/>
    <xf numFmtId="165" fontId="55" fillId="0" borderId="51" xfId="1" applyFont="1" applyFill="1" applyBorder="1"/>
    <xf numFmtId="0" fontId="88" fillId="27" borderId="53" xfId="0" applyFont="1" applyFill="1" applyBorder="1" applyAlignment="1">
      <alignment vertical="center"/>
    </xf>
    <xf numFmtId="0" fontId="88" fillId="0" borderId="55" xfId="0" applyFont="1" applyBorder="1" applyAlignment="1">
      <alignment vertical="top" wrapText="1"/>
    </xf>
    <xf numFmtId="0" fontId="89" fillId="0" borderId="0" xfId="0" applyFont="1"/>
    <xf numFmtId="0" fontId="86" fillId="29" borderId="18" xfId="0" applyFont="1" applyFill="1" applyBorder="1"/>
    <xf numFmtId="0" fontId="85" fillId="27" borderId="18" xfId="0" applyFont="1" applyFill="1" applyBorder="1" applyAlignment="1">
      <alignment vertical="center"/>
    </xf>
    <xf numFmtId="0" fontId="85" fillId="27" borderId="18" xfId="0" applyFont="1" applyFill="1" applyBorder="1" applyAlignment="1">
      <alignment vertical="center" wrapText="1"/>
    </xf>
    <xf numFmtId="0" fontId="55" fillId="0" borderId="51" xfId="227" applyFont="1" applyBorder="1" applyAlignment="1">
      <alignment horizontal="center" vertical="center"/>
    </xf>
    <xf numFmtId="0" fontId="90" fillId="29" borderId="56" xfId="0" applyFont="1" applyFill="1" applyBorder="1" applyAlignment="1">
      <alignment horizontal="center" vertical="center"/>
    </xf>
    <xf numFmtId="0" fontId="90" fillId="0" borderId="44" xfId="0" applyFont="1" applyBorder="1" applyAlignment="1">
      <alignment horizontal="center" vertical="center"/>
    </xf>
    <xf numFmtId="10" fontId="90" fillId="0" borderId="7" xfId="81" applyNumberFormat="1" applyFont="1" applyFill="1" applyBorder="1" applyAlignment="1">
      <alignment horizontal="center" vertical="center"/>
    </xf>
    <xf numFmtId="0" fontId="90" fillId="0" borderId="26" xfId="0" applyFont="1" applyBorder="1" applyAlignment="1">
      <alignment horizontal="center" vertical="center"/>
    </xf>
    <xf numFmtId="9" fontId="89" fillId="0" borderId="18" xfId="81" applyFont="1" applyBorder="1" applyAlignment="1">
      <alignment horizontal="center"/>
    </xf>
    <xf numFmtId="9" fontId="91" fillId="0" borderId="18" xfId="81" applyFont="1" applyFill="1" applyBorder="1" applyAlignment="1">
      <alignment horizontal="center"/>
    </xf>
    <xf numFmtId="9" fontId="91" fillId="0" borderId="18" xfId="81" applyFont="1" applyBorder="1" applyAlignment="1">
      <alignment horizontal="center"/>
    </xf>
    <xf numFmtId="0" fontId="93" fillId="42" borderId="0" xfId="0" applyFont="1" applyFill="1" applyAlignment="1">
      <alignment horizontal="left"/>
    </xf>
    <xf numFmtId="171" fontId="93" fillId="42" borderId="0" xfId="0" applyNumberFormat="1" applyFont="1" applyFill="1" applyAlignment="1">
      <alignment horizontal="left"/>
    </xf>
    <xf numFmtId="0" fontId="85" fillId="0" borderId="0" xfId="0" applyFont="1"/>
    <xf numFmtId="170" fontId="55" fillId="0" borderId="24" xfId="227" applyNumberFormat="1" applyFont="1" applyBorder="1" applyAlignment="1">
      <alignment horizontal="center" vertical="center"/>
    </xf>
    <xf numFmtId="170" fontId="55" fillId="0" borderId="24" xfId="1" applyNumberFormat="1" applyFont="1" applyFill="1" applyBorder="1" applyAlignment="1">
      <alignment horizontal="center" vertical="center" wrapText="1"/>
    </xf>
    <xf numFmtId="0" fontId="55" fillId="0" borderId="25" xfId="227" applyFont="1" applyBorder="1" applyAlignment="1">
      <alignment horizontal="center" vertical="center"/>
    </xf>
    <xf numFmtId="0" fontId="55" fillId="0" borderId="0" xfId="227" applyFont="1" applyAlignment="1">
      <alignment horizontal="left" vertical="center" wrapText="1"/>
    </xf>
    <xf numFmtId="0" fontId="55" fillId="0" borderId="0" xfId="227" applyFont="1" applyAlignment="1">
      <alignment horizontal="center" vertical="center"/>
    </xf>
    <xf numFmtId="168" fontId="55" fillId="0" borderId="0" xfId="229" applyNumberFormat="1" applyFont="1" applyFill="1" applyBorder="1" applyAlignment="1">
      <alignment horizontal="center" vertical="center"/>
    </xf>
    <xf numFmtId="0" fontId="55" fillId="27" borderId="0" xfId="227" applyFont="1" applyFill="1"/>
    <xf numFmtId="170" fontId="55" fillId="0" borderId="0" xfId="227" applyNumberFormat="1" applyFont="1" applyAlignment="1">
      <alignment horizontal="center" vertical="center"/>
    </xf>
    <xf numFmtId="0" fontId="55" fillId="27" borderId="0" xfId="227" applyFont="1" applyFill="1" applyAlignment="1">
      <alignment horizontal="center" vertical="center"/>
    </xf>
    <xf numFmtId="170" fontId="55" fillId="0" borderId="0" xfId="1" applyNumberFormat="1" applyFont="1" applyFill="1" applyBorder="1" applyAlignment="1">
      <alignment horizontal="center" vertical="center" wrapText="1"/>
    </xf>
    <xf numFmtId="170" fontId="55" fillId="27" borderId="0" xfId="227" applyNumberFormat="1" applyFont="1" applyFill="1" applyAlignment="1">
      <alignment horizontal="center" vertical="center"/>
    </xf>
    <xf numFmtId="172" fontId="55" fillId="27" borderId="0" xfId="227" applyNumberFormat="1" applyFont="1" applyFill="1" applyAlignment="1">
      <alignment horizontal="center" vertical="center"/>
    </xf>
    <xf numFmtId="0" fontId="55" fillId="27" borderId="0" xfId="96" applyFont="1" applyFill="1" applyAlignment="1">
      <alignment horizontal="center" vertical="center"/>
    </xf>
    <xf numFmtId="0" fontId="55" fillId="27" borderId="0" xfId="227" applyFont="1" applyFill="1" applyAlignment="1">
      <alignment horizontal="left" vertical="center" wrapText="1"/>
    </xf>
    <xf numFmtId="170" fontId="55" fillId="27" borderId="0" xfId="96" applyNumberFormat="1" applyFont="1" applyFill="1" applyAlignment="1">
      <alignment horizontal="center" vertical="center"/>
    </xf>
    <xf numFmtId="172" fontId="55" fillId="0" borderId="0" xfId="227" applyNumberFormat="1" applyFont="1" applyAlignment="1">
      <alignment horizontal="center" vertical="center"/>
    </xf>
    <xf numFmtId="0" fontId="91" fillId="32" borderId="50" xfId="0" applyFont="1" applyFill="1" applyBorder="1"/>
    <xf numFmtId="167" fontId="91" fillId="54" borderId="52" xfId="1" applyNumberFormat="1" applyFont="1" applyFill="1" applyBorder="1"/>
    <xf numFmtId="2" fontId="33" fillId="0" borderId="55" xfId="87" applyNumberFormat="1" applyFont="1" applyBorder="1"/>
    <xf numFmtId="170" fontId="54" fillId="0" borderId="0" xfId="228" applyNumberFormat="1" applyFont="1" applyAlignment="1">
      <alignment horizontal="center" vertical="center"/>
    </xf>
    <xf numFmtId="168" fontId="55" fillId="27" borderId="0" xfId="81" applyNumberFormat="1" applyFont="1" applyFill="1" applyBorder="1" applyAlignment="1">
      <alignment horizontal="center" vertical="center" wrapText="1"/>
    </xf>
    <xf numFmtId="168" fontId="55" fillId="27" borderId="66" xfId="81" applyNumberFormat="1" applyFont="1" applyFill="1" applyBorder="1" applyAlignment="1">
      <alignment horizontal="center" vertical="center" wrapText="1"/>
    </xf>
    <xf numFmtId="168" fontId="55" fillId="27" borderId="88" xfId="81" applyNumberFormat="1" applyFont="1" applyFill="1" applyBorder="1" applyAlignment="1">
      <alignment horizontal="center" vertical="center" wrapText="1"/>
    </xf>
    <xf numFmtId="0" fontId="55" fillId="0" borderId="66" xfId="220" applyFont="1" applyBorder="1" applyAlignment="1">
      <alignment horizontal="center"/>
    </xf>
    <xf numFmtId="170" fontId="55" fillId="27" borderId="0" xfId="220" applyNumberFormat="1" applyFont="1" applyFill="1" applyAlignment="1">
      <alignment horizontal="center" vertical="center" wrapText="1"/>
    </xf>
    <xf numFmtId="170" fontId="55" fillId="27" borderId="0" xfId="220" applyNumberFormat="1" applyFont="1" applyFill="1" applyAlignment="1">
      <alignment horizontal="center" vertical="center"/>
    </xf>
    <xf numFmtId="170" fontId="55" fillId="27" borderId="0" xfId="222" applyNumberFormat="1" applyFont="1" applyFill="1" applyBorder="1" applyAlignment="1">
      <alignment horizontal="center" vertical="center"/>
    </xf>
    <xf numFmtId="170" fontId="55" fillId="27" borderId="49" xfId="220" applyNumberFormat="1" applyFont="1" applyFill="1" applyBorder="1" applyAlignment="1">
      <alignment horizontal="center" vertical="center"/>
    </xf>
    <xf numFmtId="170" fontId="55" fillId="27" borderId="66" xfId="220" applyNumberFormat="1" applyFont="1" applyFill="1" applyBorder="1" applyAlignment="1">
      <alignment horizontal="center" vertical="center" wrapText="1"/>
    </xf>
    <xf numFmtId="170" fontId="55" fillId="27" borderId="66" xfId="220" applyNumberFormat="1" applyFont="1" applyFill="1" applyBorder="1" applyAlignment="1">
      <alignment horizontal="center" vertical="center"/>
    </xf>
    <xf numFmtId="170" fontId="55" fillId="27" borderId="66" xfId="222" applyNumberFormat="1" applyFont="1" applyFill="1" applyBorder="1" applyAlignment="1">
      <alignment horizontal="center" vertical="center"/>
    </xf>
    <xf numFmtId="170" fontId="55" fillId="27" borderId="86" xfId="220" applyNumberFormat="1" applyFont="1" applyFill="1" applyBorder="1" applyAlignment="1">
      <alignment horizontal="center" vertical="center"/>
    </xf>
    <xf numFmtId="170" fontId="55" fillId="27" borderId="51" xfId="220" applyNumberFormat="1" applyFont="1" applyFill="1" applyBorder="1" applyAlignment="1">
      <alignment vertical="center"/>
    </xf>
    <xf numFmtId="170" fontId="55" fillId="27" borderId="88" xfId="220" applyNumberFormat="1" applyFont="1" applyFill="1" applyBorder="1" applyAlignment="1">
      <alignment horizontal="center" vertical="center" wrapText="1"/>
    </xf>
    <xf numFmtId="170" fontId="55" fillId="27" borderId="88" xfId="220" applyNumberFormat="1" applyFont="1" applyFill="1" applyBorder="1" applyAlignment="1">
      <alignment horizontal="center" vertical="center"/>
    </xf>
    <xf numFmtId="170" fontId="55" fillId="27" borderId="88" xfId="222" applyNumberFormat="1" applyFont="1" applyFill="1" applyBorder="1" applyAlignment="1">
      <alignment horizontal="center" vertical="center"/>
    </xf>
    <xf numFmtId="170" fontId="55" fillId="27" borderId="89" xfId="220" applyNumberFormat="1" applyFont="1" applyFill="1" applyBorder="1" applyAlignment="1">
      <alignment horizontal="center" vertical="center"/>
    </xf>
    <xf numFmtId="170" fontId="55" fillId="0" borderId="52" xfId="1" applyNumberFormat="1" applyFont="1" applyBorder="1"/>
    <xf numFmtId="170" fontId="55" fillId="0" borderId="0" xfId="1" applyNumberFormat="1" applyFont="1"/>
    <xf numFmtId="170" fontId="55" fillId="0" borderId="66" xfId="220" applyNumberFormat="1" applyFont="1" applyBorder="1"/>
    <xf numFmtId="170" fontId="55" fillId="0" borderId="0" xfId="220" applyNumberFormat="1" applyFont="1"/>
    <xf numFmtId="170" fontId="55" fillId="0" borderId="66" xfId="1" applyNumberFormat="1" applyFont="1" applyBorder="1"/>
    <xf numFmtId="167" fontId="65" fillId="0" borderId="21" xfId="1" applyNumberFormat="1" applyFont="1" applyFill="1" applyBorder="1" applyAlignment="1" applyProtection="1">
      <alignment horizontal="center" vertical="center" wrapText="1"/>
    </xf>
    <xf numFmtId="167" fontId="8" fillId="0" borderId="21" xfId="1" applyNumberFormat="1" applyFont="1" applyFill="1" applyBorder="1" applyAlignment="1" applyProtection="1">
      <alignment horizontal="center" vertical="center" wrapText="1"/>
    </xf>
    <xf numFmtId="167" fontId="62" fillId="0" borderId="18" xfId="1" applyNumberFormat="1" applyFont="1" applyFill="1" applyBorder="1" applyAlignment="1" applyProtection="1">
      <alignment horizontal="center" vertical="center"/>
      <protection locked="0"/>
    </xf>
    <xf numFmtId="170" fontId="55" fillId="0" borderId="49" xfId="1" applyNumberFormat="1" applyFont="1" applyBorder="1"/>
    <xf numFmtId="170" fontId="55" fillId="0" borderId="86" xfId="1" applyNumberFormat="1" applyFont="1" applyBorder="1"/>
    <xf numFmtId="0" fontId="9" fillId="0" borderId="0" xfId="220" applyFont="1" applyAlignment="1">
      <alignment horizontal="center" vertical="center"/>
    </xf>
    <xf numFmtId="0" fontId="9" fillId="0" borderId="0" xfId="220" applyFont="1" applyAlignment="1">
      <alignment horizontal="left" vertical="center"/>
    </xf>
    <xf numFmtId="0" fontId="33" fillId="0" borderId="0" xfId="220" applyFont="1" applyAlignment="1">
      <alignment horizontal="center" vertical="center"/>
    </xf>
    <xf numFmtId="0" fontId="33" fillId="29" borderId="21" xfId="43" applyFont="1" applyFill="1" applyBorder="1" applyAlignment="1">
      <alignment horizontal="left" vertical="center" wrapText="1"/>
    </xf>
    <xf numFmtId="0" fontId="9" fillId="0" borderId="66" xfId="220" applyFont="1" applyBorder="1" applyAlignment="1">
      <alignment horizontal="center" vertical="center"/>
    </xf>
    <xf numFmtId="0" fontId="83" fillId="0" borderId="25" xfId="75" applyFont="1" applyBorder="1"/>
    <xf numFmtId="0" fontId="83" fillId="0" borderId="50" xfId="75" applyFont="1" applyBorder="1"/>
    <xf numFmtId="170" fontId="8" fillId="38" borderId="31" xfId="56" applyNumberFormat="1" applyFont="1" applyFill="1" applyBorder="1"/>
    <xf numFmtId="170" fontId="31" fillId="0" borderId="31" xfId="0" applyNumberFormat="1" applyFont="1" applyBorder="1"/>
    <xf numFmtId="170" fontId="8" fillId="38" borderId="18" xfId="56" applyNumberFormat="1" applyFont="1" applyFill="1" applyBorder="1"/>
    <xf numFmtId="170" fontId="73" fillId="38" borderId="31" xfId="1" applyNumberFormat="1" applyFont="1" applyFill="1" applyBorder="1"/>
    <xf numFmtId="170" fontId="8" fillId="0" borderId="35" xfId="1" applyNumberFormat="1" applyFont="1" applyFill="1" applyBorder="1"/>
    <xf numFmtId="170" fontId="58" fillId="0" borderId="0" xfId="81" applyNumberFormat="1" applyFont="1" applyBorder="1" applyAlignment="1">
      <alignment horizontal="center"/>
    </xf>
    <xf numFmtId="170" fontId="69" fillId="27" borderId="49" xfId="1" applyNumberFormat="1" applyFont="1" applyFill="1" applyBorder="1" applyAlignment="1">
      <alignment horizontal="center" vertical="center"/>
    </xf>
    <xf numFmtId="0" fontId="76" fillId="27" borderId="53" xfId="0" applyFont="1" applyFill="1" applyBorder="1" applyAlignment="1">
      <alignment horizontal="center"/>
    </xf>
    <xf numFmtId="0" fontId="76" fillId="27" borderId="55" xfId="0" applyFont="1" applyFill="1" applyBorder="1" applyAlignment="1">
      <alignment horizontal="center"/>
    </xf>
    <xf numFmtId="0" fontId="83" fillId="0" borderId="44" xfId="0" applyFont="1" applyBorder="1" applyAlignment="1">
      <alignment horizontal="left" vertical="top" wrapText="1"/>
    </xf>
    <xf numFmtId="0" fontId="83" fillId="0" borderId="26" xfId="0" applyFont="1" applyBorder="1" applyAlignment="1">
      <alignment horizontal="left" vertical="top" wrapText="1"/>
    </xf>
    <xf numFmtId="0" fontId="78" fillId="0" borderId="0" xfId="0" applyFont="1" applyAlignment="1">
      <alignment horizontal="center"/>
    </xf>
    <xf numFmtId="0" fontId="90" fillId="29" borderId="53" xfId="0" applyFont="1" applyFill="1" applyBorder="1" applyAlignment="1">
      <alignment horizontal="center" vertical="center"/>
    </xf>
    <xf numFmtId="0" fontId="90" fillId="29" borderId="55" xfId="0" applyFont="1" applyFill="1" applyBorder="1" applyAlignment="1">
      <alignment horizontal="center" vertical="center"/>
    </xf>
    <xf numFmtId="0" fontId="0" fillId="45" borderId="53" xfId="0" applyFill="1" applyBorder="1" applyAlignment="1">
      <alignment horizontal="center"/>
    </xf>
    <xf numFmtId="0" fontId="0" fillId="45" borderId="54" xfId="0" applyFill="1" applyBorder="1" applyAlignment="1">
      <alignment horizontal="center"/>
    </xf>
    <xf numFmtId="0" fontId="0" fillId="45" borderId="55" xfId="0" applyFill="1" applyBorder="1" applyAlignment="1">
      <alignment horizontal="center"/>
    </xf>
    <xf numFmtId="0" fontId="54" fillId="27" borderId="25" xfId="220" applyFont="1" applyFill="1" applyBorder="1" applyAlignment="1">
      <alignment horizontal="center"/>
    </xf>
    <xf numFmtId="0" fontId="54" fillId="27" borderId="0" xfId="220" applyFont="1" applyFill="1" applyAlignment="1">
      <alignment horizontal="center"/>
    </xf>
    <xf numFmtId="0" fontId="54" fillId="27" borderId="49" xfId="220" applyFont="1" applyFill="1" applyBorder="1" applyAlignment="1">
      <alignment horizontal="center"/>
    </xf>
    <xf numFmtId="0" fontId="54" fillId="27" borderId="79" xfId="220" applyFont="1" applyFill="1" applyBorder="1" applyAlignment="1">
      <alignment horizontal="center"/>
    </xf>
    <xf numFmtId="0" fontId="54" fillId="27" borderId="80" xfId="220" applyFont="1" applyFill="1" applyBorder="1" applyAlignment="1">
      <alignment horizontal="center"/>
    </xf>
    <xf numFmtId="0" fontId="54" fillId="27" borderId="78" xfId="220" applyFont="1" applyFill="1" applyBorder="1" applyAlignment="1">
      <alignment horizontal="center"/>
    </xf>
    <xf numFmtId="0" fontId="77" fillId="0" borderId="0" xfId="0" applyFont="1" applyAlignment="1">
      <alignment horizontal="left"/>
    </xf>
    <xf numFmtId="0" fontId="92" fillId="0" borderId="0" xfId="0" applyFont="1" applyAlignment="1">
      <alignment horizontal="left"/>
    </xf>
    <xf numFmtId="0" fontId="42" fillId="36" borderId="53" xfId="87" applyFont="1" applyFill="1" applyBorder="1" applyAlignment="1">
      <alignment horizontal="center" vertical="center"/>
    </xf>
    <xf numFmtId="0" fontId="42" fillId="36" borderId="55" xfId="87" applyFont="1" applyFill="1" applyBorder="1" applyAlignment="1">
      <alignment horizontal="center" vertical="center"/>
    </xf>
    <xf numFmtId="0" fontId="80" fillId="0" borderId="30" xfId="75" applyFont="1" applyBorder="1" applyAlignment="1">
      <alignment horizontal="center" vertical="center"/>
    </xf>
    <xf numFmtId="0" fontId="80" fillId="0" borderId="31" xfId="75" applyFont="1" applyBorder="1" applyAlignment="1">
      <alignment horizontal="center" vertical="center"/>
    </xf>
    <xf numFmtId="0" fontId="80" fillId="0" borderId="63" xfId="75" applyFont="1" applyBorder="1" applyAlignment="1">
      <alignment horizontal="center" vertical="center"/>
    </xf>
    <xf numFmtId="2" fontId="42" fillId="29" borderId="23" xfId="87" applyNumberFormat="1" applyFont="1" applyFill="1" applyBorder="1" applyAlignment="1">
      <alignment horizontal="center" vertical="center" wrapText="1"/>
    </xf>
    <xf numFmtId="2" fontId="42" fillId="29" borderId="46" xfId="87" applyNumberFormat="1" applyFont="1" applyFill="1" applyBorder="1" applyAlignment="1">
      <alignment horizontal="center" vertical="center" wrapText="1"/>
    </xf>
    <xf numFmtId="0" fontId="50" fillId="0" borderId="51" xfId="75" applyFont="1" applyBorder="1" applyAlignment="1">
      <alignment horizontal="center" wrapText="1"/>
    </xf>
    <xf numFmtId="0" fontId="55" fillId="0" borderId="0" xfId="227" applyFont="1" applyAlignment="1">
      <alignment horizontal="center" vertical="center" wrapText="1"/>
    </xf>
    <xf numFmtId="0" fontId="54" fillId="29" borderId="53" xfId="227" applyFont="1" applyFill="1" applyBorder="1" applyAlignment="1">
      <alignment horizontal="center" vertical="center"/>
    </xf>
    <xf numFmtId="0" fontId="54" fillId="29" borderId="54" xfId="227" applyFont="1" applyFill="1" applyBorder="1" applyAlignment="1">
      <alignment horizontal="center" vertical="center"/>
    </xf>
    <xf numFmtId="0" fontId="54" fillId="29" borderId="82" xfId="227" applyFont="1" applyFill="1" applyBorder="1" applyAlignment="1">
      <alignment horizontal="center" vertical="center"/>
    </xf>
    <xf numFmtId="0" fontId="54" fillId="37" borderId="72" xfId="227" applyFont="1" applyFill="1" applyBorder="1" applyAlignment="1">
      <alignment horizontal="center" vertical="center"/>
    </xf>
    <xf numFmtId="0" fontId="54" fillId="37" borderId="74" xfId="227" applyFont="1" applyFill="1" applyBorder="1" applyAlignment="1">
      <alignment horizontal="center" vertical="center"/>
    </xf>
    <xf numFmtId="0" fontId="54" fillId="37" borderId="81" xfId="227" applyFont="1" applyFill="1" applyBorder="1" applyAlignment="1">
      <alignment horizontal="center" vertical="center"/>
    </xf>
    <xf numFmtId="0" fontId="54" fillId="29" borderId="83" xfId="227" applyFont="1" applyFill="1" applyBorder="1" applyAlignment="1">
      <alignment horizontal="center" vertical="center" wrapText="1"/>
    </xf>
    <xf numFmtId="0" fontId="54" fillId="29" borderId="55" xfId="227" applyFont="1" applyFill="1" applyBorder="1" applyAlignment="1">
      <alignment horizontal="center" vertical="center" wrapText="1"/>
    </xf>
    <xf numFmtId="0" fontId="54" fillId="29" borderId="83" xfId="227" applyFont="1" applyFill="1" applyBorder="1" applyAlignment="1">
      <alignment horizontal="center" vertical="center"/>
    </xf>
    <xf numFmtId="0" fontId="54" fillId="29" borderId="82" xfId="227" applyFont="1" applyFill="1" applyBorder="1" applyAlignment="1">
      <alignment horizontal="center" vertical="center" wrapText="1"/>
    </xf>
    <xf numFmtId="0" fontId="0" fillId="48" borderId="0" xfId="0" applyFill="1" applyAlignment="1">
      <alignment horizontal="center"/>
    </xf>
    <xf numFmtId="0" fontId="0" fillId="49" borderId="0" xfId="0" applyFill="1" applyAlignment="1">
      <alignment horizontal="center"/>
    </xf>
    <xf numFmtId="0" fontId="0" fillId="53" borderId="0" xfId="0" applyFill="1" applyAlignment="1">
      <alignment horizontal="center"/>
    </xf>
    <xf numFmtId="0" fontId="0" fillId="50" borderId="0" xfId="0" applyFill="1" applyAlignment="1">
      <alignment horizontal="center"/>
    </xf>
    <xf numFmtId="0" fontId="0" fillId="39" borderId="0" xfId="0" applyFill="1" applyAlignment="1">
      <alignment horizontal="center"/>
    </xf>
    <xf numFmtId="0" fontId="0" fillId="36" borderId="0" xfId="0" applyFill="1" applyAlignment="1">
      <alignment horizontal="center"/>
    </xf>
    <xf numFmtId="0" fontId="54" fillId="29" borderId="83" xfId="220" applyFont="1" applyFill="1" applyBorder="1" applyAlignment="1">
      <alignment horizontal="center" vertical="center" wrapText="1"/>
    </xf>
    <xf numFmtId="0" fontId="54" fillId="29" borderId="55" xfId="220" applyFont="1" applyFill="1" applyBorder="1" applyAlignment="1">
      <alignment horizontal="center" vertical="center" wrapText="1"/>
    </xf>
    <xf numFmtId="0" fontId="54" fillId="29" borderId="53" xfId="220" applyFont="1" applyFill="1" applyBorder="1" applyAlignment="1">
      <alignment horizontal="center" vertical="center"/>
    </xf>
    <xf numFmtId="0" fontId="54" fillId="29" borderId="54" xfId="220" applyFont="1" applyFill="1" applyBorder="1" applyAlignment="1">
      <alignment horizontal="center" vertical="center"/>
    </xf>
    <xf numFmtId="0" fontId="54" fillId="29" borderId="82" xfId="220" applyFont="1" applyFill="1" applyBorder="1" applyAlignment="1">
      <alignment horizontal="center" vertical="center"/>
    </xf>
    <xf numFmtId="0" fontId="54" fillId="29" borderId="83" xfId="220" applyFont="1" applyFill="1" applyBorder="1" applyAlignment="1">
      <alignment horizontal="center" vertical="center"/>
    </xf>
    <xf numFmtId="0" fontId="54" fillId="29" borderId="54" xfId="220" applyFont="1" applyFill="1" applyBorder="1" applyAlignment="1">
      <alignment horizontal="center" vertical="center" wrapText="1"/>
    </xf>
    <xf numFmtId="0" fontId="54" fillId="0" borderId="0" xfId="220" applyFont="1" applyAlignment="1">
      <alignment horizontal="center" vertical="center" wrapText="1"/>
    </xf>
    <xf numFmtId="165" fontId="55" fillId="24" borderId="0" xfId="1" applyFont="1" applyFill="1" applyAlignment="1">
      <alignment horizontal="center" vertical="center"/>
    </xf>
    <xf numFmtId="0" fontId="54" fillId="29" borderId="82" xfId="220" applyFont="1" applyFill="1" applyBorder="1" applyAlignment="1">
      <alignment horizontal="center" vertical="center" wrapText="1"/>
    </xf>
    <xf numFmtId="165" fontId="55" fillId="0" borderId="0" xfId="1" applyFont="1" applyAlignment="1">
      <alignment horizontal="center" vertical="center"/>
    </xf>
    <xf numFmtId="165" fontId="55" fillId="24" borderId="66" xfId="1" applyFont="1" applyFill="1" applyBorder="1" applyAlignment="1">
      <alignment horizontal="center" vertical="center"/>
    </xf>
    <xf numFmtId="0" fontId="32" fillId="0" borderId="25" xfId="0" applyFont="1" applyBorder="1" applyAlignment="1">
      <alignment horizontal="left" vertical="top" wrapText="1"/>
    </xf>
    <xf numFmtId="0" fontId="32" fillId="0" borderId="0" xfId="0" applyFont="1" applyAlignment="1">
      <alignment horizontal="left" vertical="top" wrapText="1"/>
    </xf>
    <xf numFmtId="0" fontId="35" fillId="26" borderId="5" xfId="0" applyFont="1" applyFill="1" applyBorder="1" applyAlignment="1">
      <alignment horizontal="center" wrapText="1"/>
    </xf>
    <xf numFmtId="0" fontId="35" fillId="26" borderId="5" xfId="0" applyFont="1" applyFill="1" applyBorder="1" applyAlignment="1">
      <alignment horizontal="center" vertical="top" wrapText="1"/>
    </xf>
    <xf numFmtId="0" fontId="35" fillId="26" borderId="29" xfId="0" applyFont="1" applyFill="1" applyBorder="1" applyAlignment="1">
      <alignment horizontal="center" vertical="center"/>
    </xf>
    <xf numFmtId="0" fontId="35" fillId="26" borderId="3" xfId="0" applyFont="1" applyFill="1" applyBorder="1" applyAlignment="1">
      <alignment horizontal="center" vertical="center"/>
    </xf>
    <xf numFmtId="0" fontId="35" fillId="26" borderId="22" xfId="0" applyFont="1" applyFill="1" applyBorder="1" applyAlignment="1">
      <alignment horizontal="center" vertical="top" wrapText="1"/>
    </xf>
    <xf numFmtId="0" fontId="35" fillId="26" borderId="29" xfId="0" applyFont="1" applyFill="1" applyBorder="1" applyAlignment="1">
      <alignment horizontal="center"/>
    </xf>
    <xf numFmtId="0" fontId="35" fillId="26" borderId="3" xfId="0" applyFont="1" applyFill="1" applyBorder="1" applyAlignment="1">
      <alignment horizontal="center"/>
    </xf>
    <xf numFmtId="0" fontId="35" fillId="26" borderId="6" xfId="0" applyFont="1" applyFill="1" applyBorder="1" applyAlignment="1">
      <alignment horizontal="center" vertical="top" wrapText="1"/>
    </xf>
    <xf numFmtId="0" fontId="10" fillId="0" borderId="0" xfId="0" applyFont="1" applyAlignment="1">
      <alignment horizontal="center"/>
    </xf>
    <xf numFmtId="165" fontId="12" fillId="26" borderId="2" xfId="0" applyNumberFormat="1" applyFont="1" applyFill="1" applyBorder="1" applyAlignment="1">
      <alignment horizontal="center" vertical="center" wrapText="1"/>
    </xf>
    <xf numFmtId="165" fontId="12" fillId="26" borderId="5" xfId="0" applyNumberFormat="1" applyFont="1" applyFill="1" applyBorder="1" applyAlignment="1">
      <alignment horizontal="center" vertical="center" wrapText="1"/>
    </xf>
    <xf numFmtId="165" fontId="12" fillId="26" borderId="6" xfId="0" applyNumberFormat="1" applyFont="1" applyFill="1" applyBorder="1" applyAlignment="1">
      <alignment horizontal="center" vertical="center" wrapText="1"/>
    </xf>
    <xf numFmtId="165" fontId="12" fillId="26" borderId="37" xfId="0" applyNumberFormat="1" applyFont="1" applyFill="1" applyBorder="1" applyAlignment="1">
      <alignment horizontal="center" vertical="center" wrapText="1"/>
    </xf>
    <xf numFmtId="165" fontId="12" fillId="26" borderId="40" xfId="0" applyNumberFormat="1" applyFont="1" applyFill="1" applyBorder="1" applyAlignment="1">
      <alignment horizontal="center" vertical="center" wrapText="1"/>
    </xf>
    <xf numFmtId="0" fontId="12" fillId="26" borderId="18" xfId="0" applyFont="1" applyFill="1" applyBorder="1" applyAlignment="1">
      <alignment horizontal="center" vertical="center" wrapText="1"/>
    </xf>
    <xf numFmtId="0" fontId="12" fillId="26" borderId="35" xfId="0" applyFont="1" applyFill="1" applyBorder="1" applyAlignment="1">
      <alignment horizontal="center" vertical="center" wrapText="1"/>
    </xf>
    <xf numFmtId="0" fontId="12" fillId="26" borderId="30" xfId="0" applyFont="1" applyFill="1" applyBorder="1" applyAlignment="1">
      <alignment horizontal="center" vertical="center" wrapText="1"/>
    </xf>
    <xf numFmtId="0" fontId="12" fillId="26" borderId="32" xfId="0" applyFont="1" applyFill="1" applyBorder="1" applyAlignment="1">
      <alignment horizontal="center" vertical="center" wrapText="1"/>
    </xf>
    <xf numFmtId="0" fontId="12" fillId="26" borderId="34" xfId="0" applyFont="1" applyFill="1" applyBorder="1" applyAlignment="1">
      <alignment horizontal="center" vertical="center" wrapText="1"/>
    </xf>
    <xf numFmtId="0" fontId="12" fillId="26" borderId="31" xfId="0" applyFont="1" applyFill="1" applyBorder="1" applyAlignment="1">
      <alignment horizontal="center" vertical="center" wrapText="1"/>
    </xf>
    <xf numFmtId="165" fontId="12" fillId="26" borderId="31" xfId="0" applyNumberFormat="1" applyFont="1" applyFill="1" applyBorder="1" applyAlignment="1">
      <alignment horizontal="center" vertical="center" wrapText="1"/>
    </xf>
    <xf numFmtId="165" fontId="12" fillId="26" borderId="38" xfId="0" applyNumberFormat="1" applyFont="1" applyFill="1" applyBorder="1" applyAlignment="1">
      <alignment horizontal="center" vertical="center" wrapText="1"/>
    </xf>
    <xf numFmtId="0" fontId="32" fillId="32" borderId="20" xfId="0" applyFont="1" applyFill="1" applyBorder="1" applyAlignment="1">
      <alignment horizontal="left" vertical="center"/>
    </xf>
    <xf numFmtId="0" fontId="32" fillId="32" borderId="8" xfId="0" applyFont="1" applyFill="1" applyBorder="1" applyAlignment="1">
      <alignment horizontal="left" vertical="center"/>
    </xf>
    <xf numFmtId="0" fontId="32" fillId="32" borderId="21" xfId="0" applyFont="1" applyFill="1" applyBorder="1" applyAlignment="1">
      <alignment horizontal="left" vertical="center"/>
    </xf>
    <xf numFmtId="0" fontId="32" fillId="0" borderId="20" xfId="0" applyFont="1" applyBorder="1" applyAlignment="1">
      <alignment horizontal="left" vertical="center"/>
    </xf>
    <xf numFmtId="0" fontId="32" fillId="0" borderId="8" xfId="0" applyFont="1" applyBorder="1" applyAlignment="1">
      <alignment horizontal="left" vertical="center"/>
    </xf>
    <xf numFmtId="0" fontId="32" fillId="0" borderId="21" xfId="0" applyFont="1" applyBorder="1" applyAlignment="1">
      <alignment horizontal="left" vertical="center"/>
    </xf>
    <xf numFmtId="0" fontId="32" fillId="0" borderId="20" xfId="0" applyFont="1" applyBorder="1" applyAlignment="1">
      <alignment horizontal="left"/>
    </xf>
    <xf numFmtId="0" fontId="32" fillId="0" borderId="8" xfId="0" applyFont="1" applyBorder="1" applyAlignment="1">
      <alignment horizontal="left"/>
    </xf>
    <xf numFmtId="0" fontId="32" fillId="0" borderId="21" xfId="0" applyFont="1" applyBorder="1" applyAlignment="1">
      <alignment horizontal="left"/>
    </xf>
    <xf numFmtId="167" fontId="44" fillId="37" borderId="46" xfId="1" applyNumberFormat="1" applyFont="1" applyFill="1" applyBorder="1" applyAlignment="1">
      <alignment horizontal="center" vertical="center" wrapText="1"/>
    </xf>
    <xf numFmtId="167" fontId="44" fillId="37" borderId="49" xfId="1" applyNumberFormat="1" applyFont="1" applyFill="1" applyBorder="1" applyAlignment="1">
      <alignment horizontal="center" vertical="center" wrapText="1"/>
    </xf>
    <xf numFmtId="14" fontId="64" fillId="37" borderId="23" xfId="0" applyNumberFormat="1" applyFont="1" applyFill="1" applyBorder="1" applyAlignment="1">
      <alignment horizontal="left" vertical="center" wrapText="1"/>
    </xf>
    <xf numFmtId="14" fontId="64" fillId="37" borderId="25" xfId="0" applyNumberFormat="1" applyFont="1" applyFill="1" applyBorder="1" applyAlignment="1">
      <alignment horizontal="left" vertical="center"/>
    </xf>
    <xf numFmtId="167" fontId="44" fillId="37" borderId="24" xfId="1" applyNumberFormat="1" applyFont="1" applyFill="1" applyBorder="1" applyAlignment="1">
      <alignment horizontal="center" vertical="center" wrapText="1"/>
    </xf>
    <xf numFmtId="167" fontId="44" fillId="37" borderId="0" xfId="1" applyNumberFormat="1" applyFont="1" applyFill="1" applyBorder="1" applyAlignment="1">
      <alignment horizontal="center" vertical="center" wrapText="1"/>
    </xf>
  </cellXfs>
  <cellStyles count="241">
    <cellStyle name="20% - Accent1 2" xfId="3" xr:uid="{00000000-0005-0000-0000-000000000000}"/>
    <cellStyle name="20% - Accent2 2" xfId="4" xr:uid="{00000000-0005-0000-0000-000001000000}"/>
    <cellStyle name="20% - Accent3 2" xfId="5" xr:uid="{00000000-0005-0000-0000-000002000000}"/>
    <cellStyle name="20% - Accent3 3" xfId="140" xr:uid="{00000000-0005-0000-0000-000003000000}"/>
    <cellStyle name="20% - Accent4 2" xfId="6" xr:uid="{00000000-0005-0000-0000-000004000000}"/>
    <cellStyle name="20% - Accent5 2" xfId="7" xr:uid="{00000000-0005-0000-0000-000005000000}"/>
    <cellStyle name="20% - Accent6 2" xfId="8" xr:uid="{00000000-0005-0000-0000-000006000000}"/>
    <cellStyle name="40% - Accent1 2" xfId="9" xr:uid="{00000000-0005-0000-0000-000007000000}"/>
    <cellStyle name="40% - Accent2 2" xfId="10" xr:uid="{00000000-0005-0000-0000-000008000000}"/>
    <cellStyle name="40% - Accent3 2" xfId="11" xr:uid="{00000000-0005-0000-0000-000009000000}"/>
    <cellStyle name="40% - Accent4 2" xfId="12" xr:uid="{00000000-0005-0000-0000-00000A000000}"/>
    <cellStyle name="40% - Accent5 2" xfId="13" xr:uid="{00000000-0005-0000-0000-00000B000000}"/>
    <cellStyle name="40% - Accent6 2" xfId="14" xr:uid="{00000000-0005-0000-0000-00000C000000}"/>
    <cellStyle name="60% - Accent1 2" xfId="15" xr:uid="{00000000-0005-0000-0000-00000D000000}"/>
    <cellStyle name="60% - Accent2 2" xfId="16" xr:uid="{00000000-0005-0000-0000-00000E000000}"/>
    <cellStyle name="60% - Accent3 2" xfId="17" xr:uid="{00000000-0005-0000-0000-00000F000000}"/>
    <cellStyle name="60% - Accent4 2" xfId="18" xr:uid="{00000000-0005-0000-0000-000010000000}"/>
    <cellStyle name="60% - Accent5 2" xfId="19" xr:uid="{00000000-0005-0000-0000-000011000000}"/>
    <cellStyle name="60% - Accent6 2" xfId="20" xr:uid="{00000000-0005-0000-0000-000012000000}"/>
    <cellStyle name="Accent1 2" xfId="21" xr:uid="{00000000-0005-0000-0000-000013000000}"/>
    <cellStyle name="Accent2 2" xfId="22" xr:uid="{00000000-0005-0000-0000-000014000000}"/>
    <cellStyle name="Accent3 2" xfId="23" xr:uid="{00000000-0005-0000-0000-000015000000}"/>
    <cellStyle name="Accent4 2" xfId="24" xr:uid="{00000000-0005-0000-0000-000016000000}"/>
    <cellStyle name="Accent5 2" xfId="25" xr:uid="{00000000-0005-0000-0000-000017000000}"/>
    <cellStyle name="Accent6 2" xfId="26" xr:uid="{00000000-0005-0000-0000-000018000000}"/>
    <cellStyle name="Bad 2" xfId="27" xr:uid="{00000000-0005-0000-0000-000019000000}"/>
    <cellStyle name="Calculation 2" xfId="28" xr:uid="{00000000-0005-0000-0000-00001A000000}"/>
    <cellStyle name="Calculation 3" xfId="142" xr:uid="{00000000-0005-0000-0000-00001B000000}"/>
    <cellStyle name="Check Cell 2" xfId="29" xr:uid="{00000000-0005-0000-0000-00001C000000}"/>
    <cellStyle name="Check Cell 2 2" xfId="98" xr:uid="{00000000-0005-0000-0000-00001D000000}"/>
    <cellStyle name="Comma 10 2 2 2 4" xfId="237" xr:uid="{04AE6C00-3A89-455F-8B48-E803D0A2907F}"/>
    <cellStyle name="Comma 2" xfId="30" xr:uid="{00000000-0005-0000-0000-00001F000000}"/>
    <cellStyle name="Comma 2 2" xfId="51" xr:uid="{00000000-0005-0000-0000-000020000000}"/>
    <cellStyle name="Comma 2 2 2" xfId="71" xr:uid="{00000000-0005-0000-0000-000021000000}"/>
    <cellStyle name="Comma 2 2 2 2" xfId="118" xr:uid="{00000000-0005-0000-0000-000022000000}"/>
    <cellStyle name="Comma 2 2 2 2 2" xfId="196" xr:uid="{00000000-0005-0000-0000-000023000000}"/>
    <cellStyle name="Comma 2 2 2 3" xfId="163" xr:uid="{00000000-0005-0000-0000-000024000000}"/>
    <cellStyle name="Comma 2 2 3" xfId="103" xr:uid="{00000000-0005-0000-0000-000025000000}"/>
    <cellStyle name="Comma 2 2 3 2" xfId="183" xr:uid="{00000000-0005-0000-0000-000026000000}"/>
    <cellStyle name="Comma 2 2 4" xfId="150" xr:uid="{00000000-0005-0000-0000-000027000000}"/>
    <cellStyle name="Comma 2 3" xfId="67" xr:uid="{00000000-0005-0000-0000-000028000000}"/>
    <cellStyle name="Comma 2 3 2" xfId="114" xr:uid="{00000000-0005-0000-0000-000029000000}"/>
    <cellStyle name="Comma 2 3 2 2" xfId="192" xr:uid="{00000000-0005-0000-0000-00002A000000}"/>
    <cellStyle name="Comma 2 3 3" xfId="159" xr:uid="{00000000-0005-0000-0000-00002B000000}"/>
    <cellStyle name="Comma 2 4" xfId="99" xr:uid="{00000000-0005-0000-0000-00002C000000}"/>
    <cellStyle name="Comma 2 4 2" xfId="179" xr:uid="{00000000-0005-0000-0000-00002D000000}"/>
    <cellStyle name="Comma 2 5" xfId="146" xr:uid="{00000000-0005-0000-0000-00002E000000}"/>
    <cellStyle name="Comma 2 6" xfId="231" xr:uid="{383C069E-C814-4AAB-83B4-FC639E4F69A8}"/>
    <cellStyle name="Comma 2 7" xfId="240" xr:uid="{EFF5868D-EC5E-43DE-A0B0-3FCF0A3FE446}"/>
    <cellStyle name="Comma 3" xfId="60" xr:uid="{00000000-0005-0000-0000-00002F000000}"/>
    <cellStyle name="Comma 3 2" xfId="77" xr:uid="{00000000-0005-0000-0000-000030000000}"/>
    <cellStyle name="Comma 3 2 2" xfId="122" xr:uid="{00000000-0005-0000-0000-000031000000}"/>
    <cellStyle name="Comma 3 2 2 2" xfId="200" xr:uid="{00000000-0005-0000-0000-000032000000}"/>
    <cellStyle name="Comma 3 2 3" xfId="167" xr:uid="{00000000-0005-0000-0000-000033000000}"/>
    <cellStyle name="Comma 3 3" xfId="107" xr:uid="{00000000-0005-0000-0000-000034000000}"/>
    <cellStyle name="Comma 3 3 2" xfId="187" xr:uid="{00000000-0005-0000-0000-000035000000}"/>
    <cellStyle name="Comma 3 4" xfId="154" xr:uid="{00000000-0005-0000-0000-000036000000}"/>
    <cellStyle name="Comma 4" xfId="63" xr:uid="{00000000-0005-0000-0000-000037000000}"/>
    <cellStyle name="Comma 4 2" xfId="79" xr:uid="{00000000-0005-0000-0000-000038000000}"/>
    <cellStyle name="Comma 4 2 2" xfId="124" xr:uid="{00000000-0005-0000-0000-000039000000}"/>
    <cellStyle name="Comma 4 2 2 2" xfId="202" xr:uid="{00000000-0005-0000-0000-00003A000000}"/>
    <cellStyle name="Comma 4 2 3" xfId="169" xr:uid="{00000000-0005-0000-0000-00003B000000}"/>
    <cellStyle name="Comma 4 3" xfId="88" xr:uid="{00000000-0005-0000-0000-00003C000000}"/>
    <cellStyle name="Comma 4 3 2" xfId="128" xr:uid="{00000000-0005-0000-0000-00003D000000}"/>
    <cellStyle name="Comma 4 3 2 2" xfId="206" xr:uid="{00000000-0005-0000-0000-00003E000000}"/>
    <cellStyle name="Comma 4 3 3" xfId="173" xr:uid="{00000000-0005-0000-0000-00003F000000}"/>
    <cellStyle name="Comma 4 4" xfId="95" xr:uid="{00000000-0005-0000-0000-000040000000}"/>
    <cellStyle name="Comma 4 4 2" xfId="132" xr:uid="{00000000-0005-0000-0000-000041000000}"/>
    <cellStyle name="Comma 4 4 2 2" xfId="210" xr:uid="{00000000-0005-0000-0000-000042000000}"/>
    <cellStyle name="Comma 4 4 3" xfId="177" xr:uid="{00000000-0005-0000-0000-000043000000}"/>
    <cellStyle name="Comma 4 5" xfId="110" xr:uid="{00000000-0005-0000-0000-000044000000}"/>
    <cellStyle name="Comma 4 5 2" xfId="189" xr:uid="{00000000-0005-0000-0000-000045000000}"/>
    <cellStyle name="Comma 4 6" xfId="156" xr:uid="{00000000-0005-0000-0000-000046000000}"/>
    <cellStyle name="Comma 5" xfId="84" xr:uid="{00000000-0005-0000-0000-000047000000}"/>
    <cellStyle name="Comma 5 2" xfId="126" xr:uid="{00000000-0005-0000-0000-000048000000}"/>
    <cellStyle name="Comma 5 2 2" xfId="204" xr:uid="{00000000-0005-0000-0000-000049000000}"/>
    <cellStyle name="Comma 5 3" xfId="171" xr:uid="{00000000-0005-0000-0000-00004A000000}"/>
    <cellStyle name="Comma 6" xfId="92" xr:uid="{00000000-0005-0000-0000-00004B000000}"/>
    <cellStyle name="Comma 6 2" xfId="130" xr:uid="{00000000-0005-0000-0000-00004C000000}"/>
    <cellStyle name="Comma 6 2 2" xfId="208" xr:uid="{00000000-0005-0000-0000-00004D000000}"/>
    <cellStyle name="Comma 6 3" xfId="175" xr:uid="{00000000-0005-0000-0000-00004E000000}"/>
    <cellStyle name="Comma 7" xfId="144" xr:uid="{00000000-0005-0000-0000-00004F000000}"/>
    <cellStyle name="Comma 7 2" xfId="217" xr:uid="{00000000-0005-0000-0000-000050000000}"/>
    <cellStyle name="Comma 7 3" xfId="226" xr:uid="{D7B0469B-BAE4-4373-8601-3B6590C3F601}"/>
    <cellStyle name="Comma 8" xfId="233" xr:uid="{9552A7E7-82DE-43F6-A347-C299750C2A4B}"/>
    <cellStyle name="Comma_scenario cash flows" xfId="56" xr:uid="{00000000-0005-0000-0000-000051000000}"/>
    <cellStyle name="Currency" xfId="1" builtinId="4"/>
    <cellStyle name="Currency 10" xfId="97" xr:uid="{00000000-0005-0000-0000-000053000000}"/>
    <cellStyle name="Currency 10 2" xfId="178" xr:uid="{00000000-0005-0000-0000-000054000000}"/>
    <cellStyle name="Currency 11" xfId="139" xr:uid="{00000000-0005-0000-0000-000055000000}"/>
    <cellStyle name="Currency 11 2" xfId="216" xr:uid="{00000000-0005-0000-0000-000056000000}"/>
    <cellStyle name="Currency 12" xfId="145" xr:uid="{00000000-0005-0000-0000-000057000000}"/>
    <cellStyle name="Currency 13" xfId="218" xr:uid="{00000000-0005-0000-0000-000058000000}"/>
    <cellStyle name="Currency 2" xfId="32" xr:uid="{00000000-0005-0000-0000-000059000000}"/>
    <cellStyle name="Currency 2 2" xfId="53" xr:uid="{00000000-0005-0000-0000-00005A000000}"/>
    <cellStyle name="Currency 2 2 2" xfId="73" xr:uid="{00000000-0005-0000-0000-00005B000000}"/>
    <cellStyle name="Currency 2 2 2 2" xfId="120" xr:uid="{00000000-0005-0000-0000-00005C000000}"/>
    <cellStyle name="Currency 2 2 2 2 2" xfId="198" xr:uid="{00000000-0005-0000-0000-00005D000000}"/>
    <cellStyle name="Currency 2 2 2 3" xfId="165" xr:uid="{00000000-0005-0000-0000-00005E000000}"/>
    <cellStyle name="Currency 2 2 3" xfId="105" xr:uid="{00000000-0005-0000-0000-00005F000000}"/>
    <cellStyle name="Currency 2 2 3 2" xfId="185" xr:uid="{00000000-0005-0000-0000-000060000000}"/>
    <cellStyle name="Currency 2 2 4" xfId="152" xr:uid="{00000000-0005-0000-0000-000061000000}"/>
    <cellStyle name="Currency 2 3" xfId="69" xr:uid="{00000000-0005-0000-0000-000062000000}"/>
    <cellStyle name="Currency 2 3 2" xfId="116" xr:uid="{00000000-0005-0000-0000-000063000000}"/>
    <cellStyle name="Currency 2 3 2 2" xfId="194" xr:uid="{00000000-0005-0000-0000-000064000000}"/>
    <cellStyle name="Currency 2 3 3" xfId="161" xr:uid="{00000000-0005-0000-0000-000065000000}"/>
    <cellStyle name="Currency 2 4" xfId="101" xr:uid="{00000000-0005-0000-0000-000066000000}"/>
    <cellStyle name="Currency 2 4 2" xfId="181" xr:uid="{00000000-0005-0000-0000-000067000000}"/>
    <cellStyle name="Currency 2 5" xfId="148" xr:uid="{00000000-0005-0000-0000-000068000000}"/>
    <cellStyle name="Currency 2 6" xfId="219" xr:uid="{00000000-0005-0000-0000-000069000000}"/>
    <cellStyle name="Currency 2 7" xfId="222" xr:uid="{E7B6DE98-07C9-413A-942C-8631B3D9017E}"/>
    <cellStyle name="Currency 2 7 2" xfId="228" xr:uid="{D8EF4FBB-92DB-4CEE-B940-C353D88F45A0}"/>
    <cellStyle name="Currency 3" xfId="33" xr:uid="{00000000-0005-0000-0000-00006A000000}"/>
    <cellStyle name="Currency 3 2" xfId="54" xr:uid="{00000000-0005-0000-0000-00006B000000}"/>
    <cellStyle name="Currency 3 2 2" xfId="74" xr:uid="{00000000-0005-0000-0000-00006C000000}"/>
    <cellStyle name="Currency 3 2 2 2" xfId="121" xr:uid="{00000000-0005-0000-0000-00006D000000}"/>
    <cellStyle name="Currency 3 2 2 2 2" xfId="199" xr:uid="{00000000-0005-0000-0000-00006E000000}"/>
    <cellStyle name="Currency 3 2 2 3" xfId="166" xr:uid="{00000000-0005-0000-0000-00006F000000}"/>
    <cellStyle name="Currency 3 2 3" xfId="106" xr:uid="{00000000-0005-0000-0000-000070000000}"/>
    <cellStyle name="Currency 3 2 3 2" xfId="186" xr:uid="{00000000-0005-0000-0000-000071000000}"/>
    <cellStyle name="Currency 3 2 4" xfId="153" xr:uid="{00000000-0005-0000-0000-000072000000}"/>
    <cellStyle name="Currency 3 3" xfId="70" xr:uid="{00000000-0005-0000-0000-000073000000}"/>
    <cellStyle name="Currency 3 3 2" xfId="117" xr:uid="{00000000-0005-0000-0000-000074000000}"/>
    <cellStyle name="Currency 3 3 2 2" xfId="195" xr:uid="{00000000-0005-0000-0000-000075000000}"/>
    <cellStyle name="Currency 3 3 3" xfId="162" xr:uid="{00000000-0005-0000-0000-000076000000}"/>
    <cellStyle name="Currency 3 4" xfId="85" xr:uid="{00000000-0005-0000-0000-000077000000}"/>
    <cellStyle name="Currency 3 4 2" xfId="127" xr:uid="{00000000-0005-0000-0000-000078000000}"/>
    <cellStyle name="Currency 3 4 2 2" xfId="205" xr:uid="{00000000-0005-0000-0000-000079000000}"/>
    <cellStyle name="Currency 3 4 3" xfId="172" xr:uid="{00000000-0005-0000-0000-00007A000000}"/>
    <cellStyle name="Currency 3 5" xfId="102" xr:uid="{00000000-0005-0000-0000-00007B000000}"/>
    <cellStyle name="Currency 3 5 2" xfId="182" xr:uid="{00000000-0005-0000-0000-00007C000000}"/>
    <cellStyle name="Currency 3 6" xfId="149" xr:uid="{00000000-0005-0000-0000-00007D000000}"/>
    <cellStyle name="Currency 4" xfId="31" xr:uid="{00000000-0005-0000-0000-00007E000000}"/>
    <cellStyle name="Currency 4 2" xfId="68" xr:uid="{00000000-0005-0000-0000-00007F000000}"/>
    <cellStyle name="Currency 4 2 2" xfId="115" xr:uid="{00000000-0005-0000-0000-000080000000}"/>
    <cellStyle name="Currency 4 2 2 2" xfId="193" xr:uid="{00000000-0005-0000-0000-000081000000}"/>
    <cellStyle name="Currency 4 2 3" xfId="160" xr:uid="{00000000-0005-0000-0000-000082000000}"/>
    <cellStyle name="Currency 4 3" xfId="100" xr:uid="{00000000-0005-0000-0000-000083000000}"/>
    <cellStyle name="Currency 4 3 2" xfId="180" xr:uid="{00000000-0005-0000-0000-000084000000}"/>
    <cellStyle name="Currency 4 4" xfId="147" xr:uid="{00000000-0005-0000-0000-000085000000}"/>
    <cellStyle name="Currency 5" xfId="52" xr:uid="{00000000-0005-0000-0000-000086000000}"/>
    <cellStyle name="Currency 5 2" xfId="72" xr:uid="{00000000-0005-0000-0000-000087000000}"/>
    <cellStyle name="Currency 5 2 2" xfId="119" xr:uid="{00000000-0005-0000-0000-000088000000}"/>
    <cellStyle name="Currency 5 2 2 2" xfId="197" xr:uid="{00000000-0005-0000-0000-000089000000}"/>
    <cellStyle name="Currency 5 2 3" xfId="164" xr:uid="{00000000-0005-0000-0000-00008A000000}"/>
    <cellStyle name="Currency 5 3" xfId="104" xr:uid="{00000000-0005-0000-0000-00008B000000}"/>
    <cellStyle name="Currency 5 3 2" xfId="184" xr:uid="{00000000-0005-0000-0000-00008C000000}"/>
    <cellStyle name="Currency 5 4" xfId="151" xr:uid="{00000000-0005-0000-0000-00008D000000}"/>
    <cellStyle name="Currency 6" xfId="61" xr:uid="{00000000-0005-0000-0000-00008E000000}"/>
    <cellStyle name="Currency 6 2" xfId="78" xr:uid="{00000000-0005-0000-0000-00008F000000}"/>
    <cellStyle name="Currency 6 2 2" xfId="123" xr:uid="{00000000-0005-0000-0000-000090000000}"/>
    <cellStyle name="Currency 6 2 2 2" xfId="201" xr:uid="{00000000-0005-0000-0000-000091000000}"/>
    <cellStyle name="Currency 6 2 3" xfId="168" xr:uid="{00000000-0005-0000-0000-000092000000}"/>
    <cellStyle name="Currency 6 3" xfId="108" xr:uid="{00000000-0005-0000-0000-000093000000}"/>
    <cellStyle name="Currency 6 3 2" xfId="188" xr:uid="{00000000-0005-0000-0000-000094000000}"/>
    <cellStyle name="Currency 6 4" xfId="155" xr:uid="{00000000-0005-0000-0000-000095000000}"/>
    <cellStyle name="Currency 7" xfId="64" xr:uid="{00000000-0005-0000-0000-000096000000}"/>
    <cellStyle name="Currency 7 2" xfId="80" xr:uid="{00000000-0005-0000-0000-000097000000}"/>
    <cellStyle name="Currency 7 2 2" xfId="125" xr:uid="{00000000-0005-0000-0000-000098000000}"/>
    <cellStyle name="Currency 7 2 2 2" xfId="203" xr:uid="{00000000-0005-0000-0000-000099000000}"/>
    <cellStyle name="Currency 7 2 3" xfId="170" xr:uid="{00000000-0005-0000-0000-00009A000000}"/>
    <cellStyle name="Currency 7 3" xfId="90" xr:uid="{00000000-0005-0000-0000-00009B000000}"/>
    <cellStyle name="Currency 7 3 2" xfId="129" xr:uid="{00000000-0005-0000-0000-00009C000000}"/>
    <cellStyle name="Currency 7 3 2 2" xfId="207" xr:uid="{00000000-0005-0000-0000-00009D000000}"/>
    <cellStyle name="Currency 7 3 3" xfId="174" xr:uid="{00000000-0005-0000-0000-00009E000000}"/>
    <cellStyle name="Currency 7 4" xfId="111" xr:uid="{00000000-0005-0000-0000-00009F000000}"/>
    <cellStyle name="Currency 7 4 2" xfId="190" xr:uid="{00000000-0005-0000-0000-0000A0000000}"/>
    <cellStyle name="Currency 7 5" xfId="157" xr:uid="{00000000-0005-0000-0000-0000A1000000}"/>
    <cellStyle name="Currency 8" xfId="66" xr:uid="{00000000-0005-0000-0000-0000A2000000}"/>
    <cellStyle name="Currency 8 2" xfId="113" xr:uid="{00000000-0005-0000-0000-0000A3000000}"/>
    <cellStyle name="Currency 8 2 2" xfId="191" xr:uid="{00000000-0005-0000-0000-0000A4000000}"/>
    <cellStyle name="Currency 8 3" xfId="158" xr:uid="{00000000-0005-0000-0000-0000A5000000}"/>
    <cellStyle name="Currency 9" xfId="93" xr:uid="{00000000-0005-0000-0000-0000A6000000}"/>
    <cellStyle name="Currency 9 2" xfId="131" xr:uid="{00000000-0005-0000-0000-0000A7000000}"/>
    <cellStyle name="Currency 9 2 2" xfId="209" xr:uid="{00000000-0005-0000-0000-0000A8000000}"/>
    <cellStyle name="Currency 9 3" xfId="176" xr:uid="{00000000-0005-0000-0000-0000A9000000}"/>
    <cellStyle name="Currency_scenario cash flows" xfId="55" xr:uid="{00000000-0005-0000-0000-0000AA000000}"/>
    <cellStyle name="Explanatory Text 2" xfId="34" xr:uid="{00000000-0005-0000-0000-0000AB000000}"/>
    <cellStyle name="Good 2" xfId="35" xr:uid="{00000000-0005-0000-0000-0000AC000000}"/>
    <cellStyle name="Heading 1 2" xfId="36" xr:uid="{00000000-0005-0000-0000-0000AD000000}"/>
    <cellStyle name="Heading 2 2" xfId="37" xr:uid="{00000000-0005-0000-0000-0000AE000000}"/>
    <cellStyle name="Heading 3 2" xfId="38" xr:uid="{00000000-0005-0000-0000-0000AF000000}"/>
    <cellStyle name="Heading 4 2" xfId="39" xr:uid="{00000000-0005-0000-0000-0000B0000000}"/>
    <cellStyle name="Hyperlink" xfId="234" builtinId="8"/>
    <cellStyle name="Hyperlink 2" xfId="86" xr:uid="{00000000-0005-0000-0000-0000B2000000}"/>
    <cellStyle name="Hyperlink 2 2" xfId="223" xr:uid="{ACA9752B-D00D-4304-B16F-5A9D223B1B47}"/>
    <cellStyle name="Input 2" xfId="40" xr:uid="{00000000-0005-0000-0000-0000B3000000}"/>
    <cellStyle name="Input 3" xfId="141" xr:uid="{00000000-0005-0000-0000-0000B4000000}"/>
    <cellStyle name="Linked Cell 2" xfId="41" xr:uid="{00000000-0005-0000-0000-0000B5000000}"/>
    <cellStyle name="Neutral 2" xfId="42" xr:uid="{00000000-0005-0000-0000-0000B6000000}"/>
    <cellStyle name="Normal" xfId="0" builtinId="0"/>
    <cellStyle name="Normal 10" xfId="137" xr:uid="{00000000-0005-0000-0000-0000B8000000}"/>
    <cellStyle name="Normal 10 2" xfId="215" xr:uid="{00000000-0005-0000-0000-0000B9000000}"/>
    <cellStyle name="Normal 10 2 15" xfId="235" xr:uid="{302D39B0-63E5-4CBC-9A4A-7DCE7EC153F6}"/>
    <cellStyle name="Normal 11" xfId="138" xr:uid="{00000000-0005-0000-0000-0000BA000000}"/>
    <cellStyle name="Normal 12" xfId="143" xr:uid="{00000000-0005-0000-0000-0000BB000000}"/>
    <cellStyle name="Normal 12 2" xfId="239" xr:uid="{8AC0499D-4E86-4FE9-BFD9-3AA1D7E98AED}"/>
    <cellStyle name="Normal 13" xfId="232" xr:uid="{EFB3775F-A435-4FDF-92B5-899F85324BA0}"/>
    <cellStyle name="Normal 2" xfId="43" xr:uid="{00000000-0005-0000-0000-0000BC000000}"/>
    <cellStyle name="Normal 2 2" xfId="96" xr:uid="{00000000-0005-0000-0000-0000BD000000}"/>
    <cellStyle name="Normal 2 2 2" xfId="224" xr:uid="{FB4824A5-EF13-4D96-B029-D053D13E8F10}"/>
    <cellStyle name="Normal 2 3" xfId="220" xr:uid="{07FBA243-7628-4CE1-9C9A-351C7FF9CB19}"/>
    <cellStyle name="Normal 2 3 2" xfId="227" xr:uid="{AD530006-BB40-4A31-A920-080F145AC4D0}"/>
    <cellStyle name="Normal 3" xfId="2" xr:uid="{00000000-0005-0000-0000-0000BE000000}"/>
    <cellStyle name="Normal 3 2" xfId="82" xr:uid="{00000000-0005-0000-0000-0000BF000000}"/>
    <cellStyle name="Normal 3 2 2" xfId="94" xr:uid="{00000000-0005-0000-0000-0000C0000000}"/>
    <cellStyle name="Normal 4" xfId="57" xr:uid="{00000000-0005-0000-0000-0000C1000000}"/>
    <cellStyle name="Normal 4 2" xfId="75" xr:uid="{00000000-0005-0000-0000-0000C2000000}"/>
    <cellStyle name="Normal 5" xfId="62" xr:uid="{00000000-0005-0000-0000-0000C3000000}"/>
    <cellStyle name="Normal 5 2" xfId="109" xr:uid="{00000000-0005-0000-0000-0000C4000000}"/>
    <cellStyle name="Normal 6" xfId="87" xr:uid="{00000000-0005-0000-0000-0000C5000000}"/>
    <cellStyle name="Normal 6 2" xfId="91" xr:uid="{00000000-0005-0000-0000-0000C6000000}"/>
    <cellStyle name="Normal 7" xfId="133" xr:uid="{00000000-0005-0000-0000-0000C7000000}"/>
    <cellStyle name="Normal 7 2" xfId="135" xr:uid="{00000000-0005-0000-0000-0000C8000000}"/>
    <cellStyle name="Normal 7 2 2" xfId="213" xr:uid="{00000000-0005-0000-0000-0000C9000000}"/>
    <cellStyle name="Normal 7 3" xfId="211" xr:uid="{00000000-0005-0000-0000-0000CA000000}"/>
    <cellStyle name="Normal 8" xfId="134" xr:uid="{00000000-0005-0000-0000-0000CB000000}"/>
    <cellStyle name="Normal 8 2" xfId="212" xr:uid="{00000000-0005-0000-0000-0000CC000000}"/>
    <cellStyle name="Normal 9" xfId="136" xr:uid="{00000000-0005-0000-0000-0000CD000000}"/>
    <cellStyle name="Normal 9 2" xfId="214" xr:uid="{00000000-0005-0000-0000-0000CE000000}"/>
    <cellStyle name="Note 2" xfId="44" xr:uid="{00000000-0005-0000-0000-0000D0000000}"/>
    <cellStyle name="Output 2" xfId="45" xr:uid="{00000000-0005-0000-0000-0000D1000000}"/>
    <cellStyle name="Percent" xfId="81" builtinId="5"/>
    <cellStyle name="Percent 0" xfId="238" xr:uid="{9FCCCB83-7121-488D-8AE6-EB05CC5BCB47}"/>
    <cellStyle name="Percent 2" xfId="46" xr:uid="{00000000-0005-0000-0000-0000D3000000}"/>
    <cellStyle name="Percent 2 2" xfId="83" xr:uid="{00000000-0005-0000-0000-0000D4000000}"/>
    <cellStyle name="Percent 2 2 2" xfId="225" xr:uid="{8AC8DA9A-F6A7-415C-AFB5-A082FA10E5BB}"/>
    <cellStyle name="Percent 2 3" xfId="221" xr:uid="{55892A83-99F2-4D4E-9FDF-B9297BED95AC}"/>
    <cellStyle name="Percent 2 3 2" xfId="229" xr:uid="{D30DDC24-FA4A-463C-B91C-CDE3234AB8FC}"/>
    <cellStyle name="Percent 2 4" xfId="230" xr:uid="{8DE55CB5-0309-4640-A3D5-A5FD32CBAF18}"/>
    <cellStyle name="Percent 3" xfId="47" xr:uid="{00000000-0005-0000-0000-0000D5000000}"/>
    <cellStyle name="Percent 3 2" xfId="59" xr:uid="{00000000-0005-0000-0000-0000D6000000}"/>
    <cellStyle name="Percent 4" xfId="58" xr:uid="{00000000-0005-0000-0000-0000D7000000}"/>
    <cellStyle name="Percent 4 2" xfId="76" xr:uid="{00000000-0005-0000-0000-0000D8000000}"/>
    <cellStyle name="Percent 5" xfId="65" xr:uid="{00000000-0005-0000-0000-0000D9000000}"/>
    <cellStyle name="Percent 5 2" xfId="89" xr:uid="{00000000-0005-0000-0000-0000DA000000}"/>
    <cellStyle name="Percent 5 3" xfId="112" xr:uid="{00000000-0005-0000-0000-0000DB000000}"/>
    <cellStyle name="R07L" xfId="236" xr:uid="{D6B22C8C-3E82-4E28-BCCE-0B3840B53188}"/>
    <cellStyle name="Title 2" xfId="48" xr:uid="{00000000-0005-0000-0000-0000DC000000}"/>
    <cellStyle name="Total 2" xfId="49" xr:uid="{00000000-0005-0000-0000-0000DD000000}"/>
    <cellStyle name="Warning Text 2" xfId="50" xr:uid="{00000000-0005-0000-0000-0000DE000000}"/>
  </cellStyles>
  <dxfs count="33">
    <dxf>
      <fill>
        <patternFill>
          <bgColor rgb="FFFF0000"/>
        </patternFill>
      </fill>
    </dxf>
    <dxf>
      <fill>
        <patternFill>
          <bgColor rgb="FFFF0000"/>
        </patternFill>
      </fill>
    </dxf>
    <dxf>
      <font>
        <b val="0"/>
        <i val="0"/>
        <strike val="0"/>
        <condense val="0"/>
        <extend val="0"/>
        <outline val="0"/>
        <shadow val="0"/>
        <u val="none"/>
        <vertAlign val="baseline"/>
        <sz val="11"/>
        <color auto="1"/>
        <name val="Calibri"/>
        <scheme val="minor"/>
      </font>
      <numFmt numFmtId="167" formatCode="_-&quot;$&quot;* #,##0_-;\-&quot;$&quot;* #,##0_-;_-&quot;$&quot;* &quot;-&quot;??_-;_-@_-"/>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3"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none"/>
      </font>
      <numFmt numFmtId="13" formatCode="0%"/>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minor"/>
      </font>
      <numFmt numFmtId="167" formatCode="_-&quot;$&quot;* #,##0_-;\-&quot;$&quot;* #,##0_-;_-&quot;$&quot;* &quot;-&quot;??_-;_-@_-"/>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7" formatCode="_-&quot;$&quot;* #,##0_-;\-&quot;$&quot;* #,##0_-;_-&quot;$&quot;* &quot;-&quot;??_-;_-@_-"/>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5" formatCode="_-&quot;$&quot;* #,##0.00_-;\-&quot;$&quot;* #,##0.00_-;_-&quot;$&quot;* &quot;-&quot;??_-;_-@_-"/>
      <fill>
        <patternFill patternType="none">
          <fgColor indexed="64"/>
          <bgColor auto="1"/>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right/>
        <top style="thin">
          <color indexed="64"/>
        </top>
        <bottom style="thin">
          <color indexed="64"/>
        </bottom>
      </border>
    </dxf>
    <dxf>
      <border outline="0">
        <top style="thin">
          <color rgb="FF000000"/>
        </top>
      </border>
    </dxf>
    <dxf>
      <border outline="0">
        <left style="thin">
          <color rgb="FF000000"/>
        </left>
        <right style="thin">
          <color rgb="FF000000"/>
        </right>
        <top style="medium">
          <color rgb="FF000000"/>
        </top>
        <bottom style="thin">
          <color rgb="FF000000"/>
        </bottom>
      </border>
    </dxf>
    <dxf>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0"/>
        <color auto="1"/>
        <name val="Arial"/>
        <scheme val="none"/>
      </font>
      <fill>
        <patternFill patternType="solid">
          <fgColor indexed="64"/>
          <bgColor theme="6" tint="0.59999389629810485"/>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1"/>
        <color auto="1"/>
        <name val="Calibri"/>
        <scheme val="minor"/>
      </font>
      <numFmt numFmtId="167" formatCode="_-&quot;$&quot;* #,##0_-;\-&quot;$&quot;* #,##0_-;_-&quot;$&quot;* &quot;-&quot;??_-;_-@_-"/>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13"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none"/>
      </font>
      <numFmt numFmtId="168" formatCode="0.0%"/>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minor"/>
      </font>
      <numFmt numFmtId="167" formatCode="_-&quot;$&quot;* #,##0_-;\-&quot;$&quot;* #,##0_-;_-&quot;$&quot;* &quot;-&quot;??_-;_-@_-"/>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7" formatCode="_-&quot;$&quot;* #,##0_-;\-&quot;$&quot;* #,##0_-;_-&quot;$&quot;*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7" formatCode="_-&quot;$&quot;* #,##0_-;\-&quot;$&quot;* #,##0_-;_-&quot;$&quot;* &quot;-&quot;??_-;_-@_-"/>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none"/>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4"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center" vertical="center" textRotation="0" wrapText="0" indent="0" justifyLastLine="0" shrinkToFit="0" readingOrder="0"/>
    </dxf>
    <dxf>
      <border outline="0">
        <top style="thin">
          <color rgb="FF000000"/>
        </top>
      </border>
    </dxf>
    <dxf>
      <border outline="0">
        <left style="thin">
          <color rgb="FF000000"/>
        </left>
        <right style="thin">
          <color rgb="FF000000"/>
        </right>
        <top style="medium">
          <color rgb="FF000000"/>
        </top>
        <bottom style="thin">
          <color rgb="FF000000"/>
        </bottom>
      </border>
    </dxf>
    <dxf>
      <border outline="0">
        <bottom style="thin">
          <color rgb="FF000000"/>
        </bottom>
      </border>
    </dxf>
    <dxf>
      <font>
        <b/>
        <i val="0"/>
        <strike val="0"/>
        <condense val="0"/>
        <extend val="0"/>
        <outline val="0"/>
        <shadow val="0"/>
        <u val="none"/>
        <vertAlign val="baseline"/>
        <sz val="10"/>
        <color auto="1"/>
        <name val="Arial"/>
        <scheme val="none"/>
      </font>
      <fill>
        <patternFill patternType="solid">
          <fgColor indexed="64"/>
          <bgColor theme="6" tint="0.59999389629810485"/>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s>
  <tableStyles count="0" defaultTableStyle="TableStyleMedium2" defaultPivotStyle="PivotStyleLight16"/>
  <colors>
    <mruColors>
      <color rgb="FFDECBDF"/>
      <color rgb="FFFFE699"/>
      <color rgb="FFFF7C80"/>
      <color rgb="FFFFF915"/>
      <color rgb="FFD9D9D9"/>
      <color rgb="FFBDD7EE"/>
      <color rgb="FFF4EE00"/>
      <color rgb="FFFBABAB"/>
      <color rgb="FF70AD47"/>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2781300</xdr:colOff>
      <xdr:row>12</xdr:row>
      <xdr:rowOff>600075</xdr:rowOff>
    </xdr:from>
    <xdr:to>
      <xdr:col>1</xdr:col>
      <xdr:colOff>4177319</xdr:colOff>
      <xdr:row>12</xdr:row>
      <xdr:rowOff>1571814</xdr:rowOff>
    </xdr:to>
    <xdr:pic>
      <xdr:nvPicPr>
        <xdr:cNvPr id="4" name="Picture 3">
          <a:extLst>
            <a:ext uri="{FF2B5EF4-FFF2-40B4-BE49-F238E27FC236}">
              <a16:creationId xmlns:a16="http://schemas.microsoft.com/office/drawing/2014/main" id="{0029BC73-505D-73CA-44C1-1FCA9093AF19}"/>
            </a:ext>
          </a:extLst>
        </xdr:cNvPr>
        <xdr:cNvPicPr>
          <a:picLocks noChangeAspect="1"/>
        </xdr:cNvPicPr>
      </xdr:nvPicPr>
      <xdr:blipFill>
        <a:blip xmlns:r="http://schemas.openxmlformats.org/officeDocument/2006/relationships" r:embed="rId1"/>
        <a:stretch>
          <a:fillRect/>
        </a:stretch>
      </xdr:blipFill>
      <xdr:spPr>
        <a:xfrm>
          <a:off x="4848225" y="4219575"/>
          <a:ext cx="1396019" cy="97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632884</xdr:colOff>
      <xdr:row>2</xdr:row>
      <xdr:rowOff>185208</xdr:rowOff>
    </xdr:from>
    <xdr:to>
      <xdr:col>11</xdr:col>
      <xdr:colOff>933026</xdr:colOff>
      <xdr:row>5</xdr:row>
      <xdr:rowOff>102930</xdr:rowOff>
    </xdr:to>
    <xdr:pic>
      <xdr:nvPicPr>
        <xdr:cNvPr id="4" name="Picture 3">
          <a:extLst>
            <a:ext uri="{FF2B5EF4-FFF2-40B4-BE49-F238E27FC236}">
              <a16:creationId xmlns:a16="http://schemas.microsoft.com/office/drawing/2014/main" id="{878B7CAE-5AE8-9913-715A-5B9A9A75FD72}"/>
            </a:ext>
          </a:extLst>
        </xdr:cNvPr>
        <xdr:cNvPicPr>
          <a:picLocks noChangeAspect="1"/>
        </xdr:cNvPicPr>
      </xdr:nvPicPr>
      <xdr:blipFill>
        <a:blip xmlns:r="http://schemas.openxmlformats.org/officeDocument/2006/relationships" r:embed="rId1"/>
        <a:stretch>
          <a:fillRect/>
        </a:stretch>
      </xdr:blipFill>
      <xdr:spPr>
        <a:xfrm>
          <a:off x="8214784" y="756708"/>
          <a:ext cx="3887259" cy="6015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181696</xdr:colOff>
      <xdr:row>58</xdr:row>
      <xdr:rowOff>71238</xdr:rowOff>
    </xdr:from>
    <xdr:to>
      <xdr:col>13</xdr:col>
      <xdr:colOff>710373</xdr:colOff>
      <xdr:row>85</xdr:row>
      <xdr:rowOff>62372</xdr:rowOff>
    </xdr:to>
    <xdr:pic>
      <xdr:nvPicPr>
        <xdr:cNvPr id="2" name="Picture 1">
          <a:extLst>
            <a:ext uri="{FF2B5EF4-FFF2-40B4-BE49-F238E27FC236}">
              <a16:creationId xmlns:a16="http://schemas.microsoft.com/office/drawing/2014/main" id="{F2D3C0C1-351D-9265-F852-FBCA7F4129F1}"/>
            </a:ext>
          </a:extLst>
        </xdr:cNvPr>
        <xdr:cNvPicPr>
          <a:picLocks noChangeAspect="1"/>
        </xdr:cNvPicPr>
      </xdr:nvPicPr>
      <xdr:blipFill>
        <a:blip xmlns:r="http://schemas.openxmlformats.org/officeDocument/2006/relationships" r:embed="rId1"/>
        <a:stretch>
          <a:fillRect/>
        </a:stretch>
      </xdr:blipFill>
      <xdr:spPr>
        <a:xfrm>
          <a:off x="9897196" y="10033267"/>
          <a:ext cx="10958552" cy="4226957"/>
        </a:xfrm>
        <a:prstGeom prst="rect">
          <a:avLst/>
        </a:prstGeom>
      </xdr:spPr>
    </xdr:pic>
    <xdr:clientData/>
  </xdr:twoCellAnchor>
  <xdr:twoCellAnchor editAs="oneCell">
    <xdr:from>
      <xdr:col>13</xdr:col>
      <xdr:colOff>1266264</xdr:colOff>
      <xdr:row>61</xdr:row>
      <xdr:rowOff>56030</xdr:rowOff>
    </xdr:from>
    <xdr:to>
      <xdr:col>15</xdr:col>
      <xdr:colOff>750561</xdr:colOff>
      <xdr:row>82</xdr:row>
      <xdr:rowOff>48085</xdr:rowOff>
    </xdr:to>
    <xdr:pic>
      <xdr:nvPicPr>
        <xdr:cNvPr id="3" name="Picture 2">
          <a:extLst>
            <a:ext uri="{FF2B5EF4-FFF2-40B4-BE49-F238E27FC236}">
              <a16:creationId xmlns:a16="http://schemas.microsoft.com/office/drawing/2014/main" id="{E7A4BBA6-C13E-EBD2-0A55-66A36E8CB151}"/>
            </a:ext>
          </a:extLst>
        </xdr:cNvPr>
        <xdr:cNvPicPr>
          <a:picLocks noChangeAspect="1"/>
        </xdr:cNvPicPr>
      </xdr:nvPicPr>
      <xdr:blipFill>
        <a:blip xmlns:r="http://schemas.openxmlformats.org/officeDocument/2006/relationships" r:embed="rId2"/>
        <a:stretch>
          <a:fillRect/>
        </a:stretch>
      </xdr:blipFill>
      <xdr:spPr>
        <a:xfrm>
          <a:off x="21268764" y="10488706"/>
          <a:ext cx="2353003" cy="328658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F627716E-2A7D-45CC-AF86-F6C93BEA9BD0}" name="Table195781011121314236172728151617187202128" displayName="Table195781011121314236172728151617187202128" ref="A11:K23" totalsRowShown="0" headerRowDxfId="32" headerRowBorderDxfId="31" tableBorderDxfId="30" totalsRowBorderDxfId="29">
  <tableColumns count="11">
    <tableColumn id="1" xr3:uid="{75280C89-A592-4185-AE4F-6157DDE09A0A}" name="a" dataDxfId="28" dataCellStyle="Normal 2 3"/>
    <tableColumn id="2" xr3:uid="{754F8157-4335-4A14-B69A-4E2CA9200C90}" name="b" dataDxfId="27" dataCellStyle="Normal 2">
      <calculatedColumnFormula>INDEX('T-Transportation'!$C$6:$C$44,MATCH(Table195781011121314236172728151617187202128[[#This Row],[a]],'T-Transportation'!$B$6:$B$44,0))</calculatedColumnFormula>
    </tableColumn>
    <tableColumn id="4" xr3:uid="{CF8CB684-F2FA-435D-9D76-2F918F7DF518}" name="c" dataDxfId="26">
      <calculatedColumnFormula>INDEX('T-Transportation'!$G$6:$G$17,MATCH(Table195781011121314236172728151617187202128[[#This Row],[a]],'T-Transportation'!$B$6:$B$17,0))</calculatedColumnFormula>
    </tableColumn>
    <tableColumn id="5" xr3:uid="{ED8D29BE-1401-42DB-A8C2-667809E11E16}" name="d" dataDxfId="25" dataCellStyle="Normal 2">
      <calculatedColumnFormula>INDEX('T-Transportation'!$H$6:$H$17,MATCH(Table195781011121314236172728151617187202128[[#This Row],[a]],'T-Transportation'!$B$6:$B$17,0))</calculatedColumnFormula>
    </tableColumn>
    <tableColumn id="6" xr3:uid="{202FCBD7-D16A-4EAA-8013-200F25CCA546}" name="e" dataDxfId="24">
      <calculatedColumnFormula>(D12-C12)+1</calculatedColumnFormula>
    </tableColumn>
    <tableColumn id="7" xr3:uid="{70DFC16D-0495-459A-A98D-822496CC3FC7}" name="f" dataDxfId="23" dataCellStyle="Currency">
      <calculatedColumnFormula>INDEX('T-Transportation'!$L$6:$L$17,MATCH(Table195781011121314236172728151617187202128[[#This Row],[a]],'T-Transportation'!$B$6:$B$17,0))</calculatedColumnFormula>
    </tableColumn>
    <tableColumn id="8" xr3:uid="{1D0A0CC7-3348-4D08-AB54-EDB6C06ECCD3}" name="g" dataDxfId="22" dataCellStyle="Currency"/>
    <tableColumn id="3" xr3:uid="{97A0284D-7C99-443A-92E3-5A52918A3817}" name="h" dataDxfId="21">
      <calculatedColumnFormula>+Table195781011121314236172728151617187202128[[#This Row],[f]]-Table195781011121314236172728151617187202128[[#This Row],[g]]</calculatedColumnFormula>
    </tableColumn>
    <tableColumn id="12" xr3:uid="{C2B87B41-2B03-4293-96F8-449868EF93B0}" name="i" dataDxfId="20" dataCellStyle="Percent">
      <calculatedColumnFormula>INDEX('T-Transportation'!$I$6:$I$17,MATCH(Table195781011121314236172728151617187202128[[#This Row],[a]],'T-Transportation'!$B$6:$B$17,0))</calculatedColumnFormula>
    </tableColumn>
    <tableColumn id="10" xr3:uid="{385830EA-825D-438B-9B43-35C03E0EFDF4}" name="j" dataDxfId="19" dataCellStyle="Percent">
      <calculatedColumnFormula>1-Table195781011121314236172728151617187202128[[#This Row],[i]]</calculatedColumnFormula>
    </tableColumn>
    <tableColumn id="11" xr3:uid="{A3C3C241-38E6-41F6-ABD1-6D99CD9D9C45}" name="k" dataDxfId="18">
      <calculatedColumnFormula>(Table195781011121314236172728151617187202128[[#This Row],[h]]*Table195781011121314236172728151617187202128[[#This Row],[i]])</calculatedColumnFormula>
    </tableColumn>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C78463C-4A7C-421D-9C67-44B6739849F2}" name="Table1957810111213142361727281516171872021" displayName="Table1957810111213142361727281516171872021" ref="A11:K17" totalsRowShown="0" headerRowDxfId="17" dataDxfId="15" headerRowBorderDxfId="16" tableBorderDxfId="14" totalsRowBorderDxfId="13">
  <tableColumns count="11">
    <tableColumn id="1" xr3:uid="{44E534BD-CC88-4A69-8BAB-FE53C986AC0D}" name="a" dataDxfId="12" dataCellStyle="Normal 2">
      <calculatedColumnFormula>'T-Transportation'!B23</calculatedColumnFormula>
    </tableColumn>
    <tableColumn id="2" xr3:uid="{0DB0B6BC-4227-49BF-A285-7A486818914C}" name="b" dataDxfId="11" dataCellStyle="Normal 2">
      <calculatedColumnFormula>INDEX('T-Transportation'!$C$6:$C$44,MATCH(Table1957810111213142361727281516171872021[[#This Row],[a]],'T-Transportation'!$B$6:$B$44,0))</calculatedColumnFormula>
    </tableColumn>
    <tableColumn id="4" xr3:uid="{A9C6CF39-DF56-44AB-BC33-68BA435B41AE}" name="c" dataDxfId="10">
      <calculatedColumnFormula>INDEX('T-Transportation'!$G$8:$G$23,MATCH(Table1957810111213142361727281516171872021[[#This Row],[a]],'T-Transportation'!$B$8:$B$23,0))</calculatedColumnFormula>
    </tableColumn>
    <tableColumn id="5" xr3:uid="{77BEC242-8D60-4FD9-8BF0-3E4E0DD3E0D5}" name="d" dataDxfId="9" dataCellStyle="Normal 2">
      <calculatedColumnFormula>INDEX('T-Transportation'!$H$8:$H$23,MATCH(Table1957810111213142361727281516171872021[[#This Row],[a]],'T-Transportation'!$B$8:$B$23,0))</calculatedColumnFormula>
    </tableColumn>
    <tableColumn id="6" xr3:uid="{661D3D15-815E-459B-ACFF-2BF36F9655F0}" name="e" dataDxfId="8">
      <calculatedColumnFormula>(D12-C12)+1</calculatedColumnFormula>
    </tableColumn>
    <tableColumn id="7" xr3:uid="{D5271B40-EE98-4DDB-90F8-146C64A1C545}" name="f" dataDxfId="7" dataCellStyle="Currency">
      <calculatedColumnFormula>'T-Transportation'!P26</calculatedColumnFormula>
    </tableColumn>
    <tableColumn id="8" xr3:uid="{AD3FE030-1939-4D8D-B334-A6920DA4D7C0}" name="g" dataDxfId="6" dataCellStyle="Currency"/>
    <tableColumn id="3" xr3:uid="{91A1E3F4-B2DD-4BAD-AAD0-49190705203D}" name="h" dataDxfId="5">
      <calculatedColumnFormula>+Table1957810111213142361727281516171872021[[#This Row],[f]]-Table1957810111213142361727281516171872021[[#This Row],[g]]</calculatedColumnFormula>
    </tableColumn>
    <tableColumn id="12" xr3:uid="{7A549A23-F685-43F9-AC89-CB246AC5A110}" name="i" dataDxfId="4" dataCellStyle="Percent">
      <calculatedColumnFormula>INDEX('T-Transportation'!$I$8:$I$23,MATCH(Table1957810111213142361727281516171872021[[#This Row],[a]],'T-Transportation'!$B$8:$B$23,0))</calculatedColumnFormula>
    </tableColumn>
    <tableColumn id="10" xr3:uid="{C7D3E883-7F20-4398-8DD7-B40555E9E3F2}" name="j" dataDxfId="3" dataCellStyle="Percent">
      <calculatedColumnFormula>1-Table1957810111213142361727281516171872021[[#This Row],[i]]</calculatedColumnFormula>
    </tableColumn>
    <tableColumn id="11" xr3:uid="{DBE7D189-24D3-4ACF-8405-0551ACCB7901}" name="k" dataDxfId="2">
      <calculatedColumnFormula>(Table1957810111213142361727281516171872021[[#This Row],[h]]*Table1957810111213142361727281516171872021[[#This Row],[i]])</calculatedColumnFormula>
    </tableColumn>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B3C64-E4D5-4B7F-8AEE-78C03EA01DC0}">
  <sheetPr codeName="Sheet1"/>
  <dimension ref="A1:N13"/>
  <sheetViews>
    <sheetView showGridLines="0" tabSelected="1" zoomScaleNormal="100" workbookViewId="0">
      <selection activeCell="G2" sqref="G2"/>
    </sheetView>
  </sheetViews>
  <sheetFormatPr defaultRowHeight="14.4"/>
  <cols>
    <col min="1" max="1" width="31" customWidth="1"/>
    <col min="2" max="2" width="147" customWidth="1"/>
  </cols>
  <sheetData>
    <row r="1" spans="1:14" ht="22.2" thickBot="1">
      <c r="A1" s="638" t="s">
        <v>204</v>
      </c>
      <c r="B1" s="639"/>
    </row>
    <row r="2" spans="1:14" ht="79.5" customHeight="1">
      <c r="A2" s="640" t="s">
        <v>271</v>
      </c>
      <c r="B2" s="641"/>
      <c r="C2" s="311"/>
      <c r="D2" s="311"/>
      <c r="E2" s="311"/>
      <c r="F2" s="311"/>
      <c r="G2" s="311"/>
      <c r="H2" s="311"/>
      <c r="I2" s="311"/>
      <c r="J2" s="311"/>
      <c r="K2" s="311"/>
      <c r="L2" s="311"/>
      <c r="M2" s="311"/>
    </row>
    <row r="3" spans="1:14" ht="16.8">
      <c r="A3" s="562"/>
      <c r="B3" s="562"/>
    </row>
    <row r="4" spans="1:14" ht="15">
      <c r="A4" s="563" t="s">
        <v>206</v>
      </c>
      <c r="B4" s="563" t="s">
        <v>205</v>
      </c>
    </row>
    <row r="5" spans="1:14" ht="28.5" customHeight="1">
      <c r="A5" s="564" t="s">
        <v>218</v>
      </c>
      <c r="B5" s="565" t="s">
        <v>272</v>
      </c>
    </row>
    <row r="6" spans="1:14" ht="28.8">
      <c r="A6" s="564" t="s">
        <v>207</v>
      </c>
      <c r="B6" s="565" t="s">
        <v>219</v>
      </c>
    </row>
    <row r="7" spans="1:14" ht="30" customHeight="1">
      <c r="A7" s="564" t="s">
        <v>208</v>
      </c>
      <c r="B7" s="565" t="s">
        <v>211</v>
      </c>
    </row>
    <row r="8" spans="1:14" ht="28.8">
      <c r="A8" s="564" t="s">
        <v>210</v>
      </c>
      <c r="B8" s="565" t="s">
        <v>212</v>
      </c>
    </row>
    <row r="9" spans="1:14" ht="24" customHeight="1">
      <c r="A9" s="564" t="s">
        <v>213</v>
      </c>
      <c r="B9" s="565" t="s">
        <v>273</v>
      </c>
    </row>
    <row r="10" spans="1:14" ht="28.8">
      <c r="A10" s="564" t="s">
        <v>214</v>
      </c>
      <c r="B10" s="565" t="s">
        <v>220</v>
      </c>
    </row>
    <row r="11" spans="1:14">
      <c r="A11" s="564" t="s">
        <v>215</v>
      </c>
      <c r="B11" s="565" t="s">
        <v>216</v>
      </c>
    </row>
    <row r="12" spans="1:14" ht="15" thickBot="1">
      <c r="A12" s="316"/>
      <c r="B12" s="316"/>
    </row>
    <row r="13" spans="1:14" s="343" customFormat="1" ht="134.25" customHeight="1" thickBot="1">
      <c r="A13" s="560" t="s">
        <v>262</v>
      </c>
      <c r="B13" s="561" t="s">
        <v>263</v>
      </c>
      <c r="C13"/>
      <c r="D13"/>
      <c r="E13"/>
      <c r="F13"/>
      <c r="G13"/>
      <c r="H13"/>
      <c r="I13"/>
      <c r="J13"/>
      <c r="K13"/>
      <c r="L13"/>
      <c r="M13"/>
      <c r="N13"/>
    </row>
  </sheetData>
  <mergeCells count="2">
    <mergeCell ref="A1:B1"/>
    <mergeCell ref="A2:B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CC61"/>
  <sheetViews>
    <sheetView showGridLines="0" zoomScale="85" zoomScaleNormal="85" workbookViewId="0">
      <selection activeCell="D17" sqref="D17"/>
    </sheetView>
  </sheetViews>
  <sheetFormatPr defaultColWidth="8.88671875" defaultRowHeight="16.8"/>
  <cols>
    <col min="1" max="1" width="90.6640625" style="343" customWidth="1"/>
    <col min="2" max="2" width="23.5546875" style="343" customWidth="1"/>
    <col min="3" max="3" width="23.6640625" style="343" customWidth="1"/>
    <col min="4" max="4" width="52.88671875" style="343" customWidth="1"/>
    <col min="5" max="5" width="23.6640625" style="343" customWidth="1"/>
    <col min="6" max="6" width="4.44140625" style="343" customWidth="1"/>
    <col min="7" max="7" width="8.88671875" style="343"/>
    <col min="8" max="8" width="10.21875" style="343" customWidth="1"/>
    <col min="9" max="9" width="9.44140625" style="343" customWidth="1"/>
    <col min="10" max="10" width="18.6640625" style="343" customWidth="1"/>
    <col min="11" max="11" width="15.44140625" style="343" customWidth="1"/>
    <col min="12" max="12" width="17" style="343" customWidth="1"/>
    <col min="13" max="16384" width="8.88671875" style="343"/>
  </cols>
  <sheetData>
    <row r="1" spans="1:81">
      <c r="A1" s="468" t="s">
        <v>116</v>
      </c>
    </row>
    <row r="3" spans="1:81">
      <c r="A3" s="502" t="s">
        <v>23</v>
      </c>
      <c r="B3" s="503">
        <v>2026</v>
      </c>
      <c r="C3" s="343" t="s">
        <v>24</v>
      </c>
      <c r="G3" s="469"/>
      <c r="H3" s="470"/>
      <c r="I3" s="470"/>
      <c r="J3" s="470"/>
      <c r="K3" s="470"/>
      <c r="L3" s="471"/>
    </row>
    <row r="4" spans="1:81">
      <c r="A4" s="468"/>
      <c r="G4" s="472" t="s">
        <v>169</v>
      </c>
      <c r="H4" s="473"/>
      <c r="I4" s="473"/>
      <c r="J4" s="473"/>
      <c r="K4" s="473"/>
      <c r="L4" s="474"/>
    </row>
    <row r="5" spans="1:81">
      <c r="A5" s="462" t="s">
        <v>25</v>
      </c>
      <c r="B5" s="463"/>
      <c r="C5" s="464"/>
      <c r="D5" s="464" t="s">
        <v>228</v>
      </c>
      <c r="G5" s="472"/>
      <c r="H5" s="473"/>
      <c r="I5" s="473"/>
      <c r="J5" s="473"/>
      <c r="K5" s="473"/>
      <c r="L5" s="474"/>
    </row>
    <row r="6" spans="1:81" ht="39" customHeight="1">
      <c r="A6" s="465" t="s">
        <v>283</v>
      </c>
      <c r="B6" s="466">
        <f>AVERAGE(K15:K19)</f>
        <v>2.6740000000000003E-2</v>
      </c>
      <c r="C6" s="465" t="s">
        <v>24</v>
      </c>
      <c r="D6" s="467" t="s">
        <v>231</v>
      </c>
      <c r="G6" s="472"/>
      <c r="H6" s="473"/>
      <c r="I6" s="473"/>
      <c r="J6" s="473"/>
      <c r="K6" s="473"/>
      <c r="L6" s="474"/>
      <c r="AA6" s="475"/>
      <c r="AB6" s="642"/>
      <c r="AC6" s="642"/>
    </row>
    <row r="7" spans="1:81" ht="33.6">
      <c r="A7" s="465" t="s">
        <v>284</v>
      </c>
      <c r="B7" s="466">
        <f>AVERAGE(K8:K12)</f>
        <v>4.496E-2</v>
      </c>
      <c r="C7" s="465" t="s">
        <v>24</v>
      </c>
      <c r="D7" s="467" t="s">
        <v>229</v>
      </c>
      <c r="G7" s="490" t="s">
        <v>170</v>
      </c>
      <c r="J7" s="468" t="s">
        <v>9</v>
      </c>
      <c r="K7" s="468" t="s">
        <v>217</v>
      </c>
      <c r="L7" s="491"/>
      <c r="AA7" s="476"/>
    </row>
    <row r="8" spans="1:81" ht="33.6" customHeight="1">
      <c r="A8" s="465" t="s">
        <v>285</v>
      </c>
      <c r="B8" s="466">
        <v>0</v>
      </c>
      <c r="C8" s="465" t="s">
        <v>24</v>
      </c>
      <c r="D8" s="467" t="s">
        <v>282</v>
      </c>
      <c r="G8" s="490"/>
      <c r="J8" s="492">
        <v>2025</v>
      </c>
      <c r="K8" s="493">
        <v>4.6100000000000002E-2</v>
      </c>
      <c r="L8" s="491"/>
      <c r="AA8" s="476"/>
    </row>
    <row r="9" spans="1:81" ht="17.399999999999999" thickBot="1">
      <c r="G9" s="490"/>
      <c r="H9" s="468"/>
      <c r="J9" s="492">
        <v>2024</v>
      </c>
      <c r="K9" s="493">
        <v>5.1900000000000002E-2</v>
      </c>
      <c r="L9" s="491"/>
      <c r="AA9" s="476"/>
    </row>
    <row r="10" spans="1:81" ht="17.399999999999999" thickBot="1">
      <c r="A10" s="567" t="s">
        <v>102</v>
      </c>
      <c r="B10" s="643" t="s">
        <v>94</v>
      </c>
      <c r="C10" s="644"/>
      <c r="G10" s="490"/>
      <c r="J10" s="492">
        <v>2023</v>
      </c>
      <c r="K10" s="493">
        <v>5.2699999999999997E-2</v>
      </c>
      <c r="L10" s="491"/>
      <c r="AA10" s="476"/>
    </row>
    <row r="11" spans="1:81">
      <c r="A11" s="568"/>
      <c r="B11" s="569" t="s">
        <v>265</v>
      </c>
      <c r="C11" s="570" t="s">
        <v>266</v>
      </c>
      <c r="G11" s="490"/>
      <c r="J11" s="492">
        <v>2022</v>
      </c>
      <c r="K11" s="493">
        <v>4.6199999999999998E-2</v>
      </c>
      <c r="L11" s="491"/>
      <c r="AA11" s="476"/>
    </row>
    <row r="12" spans="1:81">
      <c r="A12" s="501" t="s">
        <v>103</v>
      </c>
      <c r="B12" s="571">
        <v>0.35</v>
      </c>
      <c r="C12" s="572">
        <v>0.5</v>
      </c>
      <c r="G12" s="490"/>
      <c r="I12" s="494"/>
      <c r="J12" s="492">
        <v>2021</v>
      </c>
      <c r="K12" s="493">
        <v>2.7900000000000001E-2</v>
      </c>
      <c r="L12" s="495"/>
      <c r="AA12" s="476"/>
    </row>
    <row r="13" spans="1:81">
      <c r="A13" s="501" t="s">
        <v>104</v>
      </c>
      <c r="B13" s="571">
        <v>0.25</v>
      </c>
      <c r="C13" s="573">
        <v>0.35</v>
      </c>
      <c r="F13" s="468"/>
      <c r="G13" s="490"/>
      <c r="I13" s="494"/>
      <c r="J13" s="494"/>
      <c r="K13" s="494"/>
      <c r="L13" s="495"/>
      <c r="AA13" s="475"/>
    </row>
    <row r="14" spans="1:81" ht="15.75" customHeight="1">
      <c r="A14" s="501" t="s">
        <v>105</v>
      </c>
      <c r="B14" s="571">
        <v>0.15</v>
      </c>
      <c r="C14" s="573">
        <v>0.25</v>
      </c>
      <c r="G14" s="490" t="s">
        <v>232</v>
      </c>
      <c r="I14" s="494"/>
      <c r="J14" s="468" t="s">
        <v>9</v>
      </c>
      <c r="K14" s="468" t="s">
        <v>233</v>
      </c>
      <c r="L14" s="495"/>
    </row>
    <row r="15" spans="1:81">
      <c r="A15" s="501" t="s">
        <v>106</v>
      </c>
      <c r="B15" s="571">
        <v>0.1</v>
      </c>
      <c r="C15" s="573">
        <v>0.15</v>
      </c>
      <c r="G15" s="490"/>
      <c r="J15" s="492">
        <v>2025</v>
      </c>
      <c r="K15" s="479">
        <v>3.0599999999999999E-2</v>
      </c>
      <c r="L15" s="491"/>
      <c r="M15" s="477"/>
      <c r="N15" s="477"/>
      <c r="O15" s="477"/>
      <c r="P15" s="477"/>
      <c r="Q15" s="477"/>
      <c r="R15" s="477"/>
      <c r="S15" s="477"/>
      <c r="T15" s="477"/>
      <c r="U15" s="477"/>
      <c r="V15" s="477"/>
      <c r="W15" s="477"/>
      <c r="X15" s="477"/>
      <c r="Y15" s="477"/>
      <c r="Z15" s="477"/>
      <c r="AA15" s="477"/>
      <c r="AB15" s="477"/>
      <c r="AC15" s="477"/>
      <c r="AD15" s="477"/>
      <c r="AE15" s="477"/>
      <c r="AF15" s="477"/>
      <c r="AG15" s="477"/>
      <c r="AH15" s="477"/>
      <c r="AI15" s="477"/>
      <c r="AJ15" s="477"/>
      <c r="AK15" s="477"/>
      <c r="AL15" s="477"/>
      <c r="AM15" s="477"/>
      <c r="AN15" s="477"/>
      <c r="AO15" s="477"/>
      <c r="AP15" s="477"/>
      <c r="AQ15" s="477"/>
      <c r="AR15" s="477"/>
      <c r="AS15" s="477"/>
      <c r="AT15" s="477"/>
      <c r="AU15" s="477"/>
      <c r="AV15" s="477"/>
      <c r="AW15" s="477"/>
      <c r="AX15" s="477"/>
      <c r="AY15" s="477"/>
      <c r="AZ15" s="477"/>
      <c r="BA15" s="477"/>
      <c r="BB15" s="477"/>
      <c r="BC15" s="477"/>
      <c r="BD15" s="477"/>
      <c r="BE15" s="477"/>
      <c r="BF15" s="477"/>
      <c r="BG15" s="477"/>
      <c r="BH15" s="477"/>
      <c r="BI15" s="477"/>
      <c r="BJ15" s="477"/>
      <c r="BK15" s="477"/>
      <c r="BL15" s="477"/>
      <c r="BM15" s="477"/>
      <c r="BN15" s="477"/>
      <c r="BO15" s="477"/>
      <c r="BP15" s="477"/>
      <c r="BQ15" s="477"/>
      <c r="BR15" s="477"/>
      <c r="BS15" s="477"/>
      <c r="BT15" s="477"/>
      <c r="BU15" s="477"/>
      <c r="BV15" s="477"/>
      <c r="BW15" s="477"/>
      <c r="BX15" s="477"/>
      <c r="BY15" s="477"/>
      <c r="BZ15" s="477"/>
      <c r="CA15" s="477"/>
      <c r="CB15" s="477"/>
      <c r="CC15" s="477"/>
    </row>
    <row r="16" spans="1:81">
      <c r="G16" s="490"/>
      <c r="J16" s="492">
        <v>2024</v>
      </c>
      <c r="K16" s="479">
        <v>2.75E-2</v>
      </c>
      <c r="L16" s="491"/>
      <c r="M16" s="478"/>
      <c r="N16" s="478"/>
      <c r="O16" s="478"/>
      <c r="P16" s="478"/>
      <c r="Q16" s="478"/>
      <c r="R16" s="478"/>
      <c r="S16" s="478"/>
      <c r="T16" s="478"/>
      <c r="U16" s="478"/>
      <c r="V16" s="478"/>
      <c r="W16" s="478"/>
      <c r="X16" s="478"/>
      <c r="Y16" s="478"/>
      <c r="Z16" s="478"/>
      <c r="AA16" s="478"/>
      <c r="AB16" s="478"/>
      <c r="AC16" s="478"/>
      <c r="AD16" s="478"/>
      <c r="AE16" s="478"/>
      <c r="AF16" s="478"/>
      <c r="AG16" s="478"/>
      <c r="AH16" s="478"/>
      <c r="AI16" s="478"/>
      <c r="AJ16" s="478"/>
      <c r="AK16" s="478"/>
      <c r="AL16" s="478"/>
      <c r="AM16" s="478"/>
      <c r="AN16" s="478"/>
      <c r="AO16" s="478"/>
      <c r="AP16" s="478"/>
      <c r="AQ16" s="478"/>
      <c r="AR16" s="478"/>
      <c r="AS16" s="478"/>
      <c r="AT16" s="478"/>
      <c r="AU16" s="478"/>
      <c r="AV16" s="478"/>
      <c r="AW16" s="478"/>
      <c r="AX16" s="478"/>
      <c r="AY16" s="478"/>
      <c r="AZ16" s="478"/>
      <c r="BA16" s="478"/>
      <c r="BB16" s="478"/>
      <c r="BC16" s="478"/>
      <c r="BD16" s="478"/>
      <c r="BE16" s="478"/>
      <c r="BF16" s="478"/>
      <c r="BG16" s="478"/>
      <c r="BH16" s="478"/>
      <c r="BI16" s="478"/>
      <c r="BJ16" s="478"/>
      <c r="BK16" s="478"/>
      <c r="BL16" s="478"/>
      <c r="BM16" s="478"/>
      <c r="BN16" s="478"/>
      <c r="BO16" s="478"/>
      <c r="BP16" s="478"/>
      <c r="BQ16" s="478"/>
      <c r="BR16" s="478"/>
      <c r="BS16" s="478"/>
      <c r="BT16" s="478"/>
      <c r="BU16" s="478"/>
      <c r="BV16" s="478"/>
      <c r="BW16" s="478"/>
      <c r="BX16" s="478"/>
      <c r="BY16" s="478"/>
      <c r="BZ16" s="478"/>
      <c r="CA16" s="478"/>
      <c r="CB16" s="478"/>
      <c r="CC16" s="478"/>
    </row>
    <row r="17" spans="1:12" ht="15" customHeight="1">
      <c r="A17" s="504" t="s">
        <v>197</v>
      </c>
      <c r="B17" s="505"/>
      <c r="G17" s="490"/>
      <c r="J17" s="492">
        <v>2023</v>
      </c>
      <c r="K17" s="479">
        <v>2.8500000000000001E-2</v>
      </c>
      <c r="L17" s="491"/>
    </row>
    <row r="18" spans="1:12">
      <c r="A18" s="501" t="s">
        <v>234</v>
      </c>
      <c r="B18" s="506">
        <v>2.5000000000000001E-2</v>
      </c>
      <c r="G18" s="490"/>
      <c r="J18" s="492">
        <v>2022</v>
      </c>
      <c r="K18" s="479">
        <v>2.1999999999999999E-2</v>
      </c>
      <c r="L18" s="491"/>
    </row>
    <row r="19" spans="1:12">
      <c r="A19" s="465" t="s">
        <v>235</v>
      </c>
      <c r="B19" s="506">
        <v>2.5000000000000001E-2</v>
      </c>
      <c r="G19" s="496"/>
      <c r="H19" s="497"/>
      <c r="I19" s="497"/>
      <c r="J19" s="498">
        <v>2021</v>
      </c>
      <c r="K19" s="499">
        <v>2.5100000000000001E-2</v>
      </c>
      <c r="L19" s="500"/>
    </row>
    <row r="20" spans="1:12">
      <c r="A20" s="465" t="s">
        <v>236</v>
      </c>
      <c r="B20" s="506">
        <v>0.05</v>
      </c>
    </row>
    <row r="21" spans="1:12">
      <c r="J21" s="479"/>
      <c r="K21" s="478"/>
    </row>
    <row r="22" spans="1:12">
      <c r="A22" s="504" t="s">
        <v>114</v>
      </c>
      <c r="B22" s="505"/>
      <c r="J22" s="479"/>
      <c r="K22" s="478"/>
    </row>
    <row r="23" spans="1:12">
      <c r="A23" s="507" t="s">
        <v>115</v>
      </c>
      <c r="B23" s="508">
        <v>0.02</v>
      </c>
      <c r="J23" s="479"/>
      <c r="K23" s="478"/>
    </row>
    <row r="24" spans="1:12" ht="17.399999999999999" thickBot="1">
      <c r="J24" s="479"/>
      <c r="K24" s="478"/>
    </row>
    <row r="25" spans="1:12">
      <c r="A25" s="480" t="s">
        <v>28</v>
      </c>
      <c r="B25" s="481"/>
      <c r="J25" s="479"/>
      <c r="K25" s="478"/>
    </row>
    <row r="26" spans="1:12">
      <c r="A26" s="629" t="s">
        <v>276</v>
      </c>
      <c r="B26" s="482">
        <v>0.4</v>
      </c>
      <c r="J26" s="479"/>
      <c r="K26" s="478"/>
    </row>
    <row r="27" spans="1:12">
      <c r="A27" s="629" t="s">
        <v>277</v>
      </c>
      <c r="B27" s="483">
        <v>0.3</v>
      </c>
      <c r="J27" s="479"/>
      <c r="K27" s="478"/>
    </row>
    <row r="28" spans="1:12" ht="17.399999999999999" thickBot="1">
      <c r="A28" s="630" t="s">
        <v>278</v>
      </c>
      <c r="B28" s="484">
        <v>0.3</v>
      </c>
      <c r="J28" s="479"/>
      <c r="K28" s="478"/>
    </row>
    <row r="29" spans="1:12" ht="17.399999999999999" thickBot="1">
      <c r="J29" s="479"/>
      <c r="K29" s="478"/>
    </row>
    <row r="30" spans="1:12">
      <c r="A30" s="485" t="s">
        <v>165</v>
      </c>
      <c r="B30" s="486"/>
      <c r="J30" s="479"/>
      <c r="K30" s="478"/>
    </row>
    <row r="31" spans="1:12" ht="17.399999999999999" thickBot="1">
      <c r="A31" s="487" t="s">
        <v>42</v>
      </c>
      <c r="B31" s="488">
        <f>'2026 Collections Summary'!B2</f>
        <v>-575006.8005937502</v>
      </c>
      <c r="J31" s="479"/>
      <c r="K31" s="478"/>
    </row>
    <row r="32" spans="1:12" ht="17.399999999999999" thickBot="1">
      <c r="A32" s="593" t="s">
        <v>132</v>
      </c>
      <c r="B32" s="594">
        <v>0</v>
      </c>
      <c r="J32" s="479"/>
      <c r="K32" s="478"/>
    </row>
    <row r="33" spans="10:11">
      <c r="J33" s="479"/>
      <c r="K33" s="478"/>
    </row>
    <row r="34" spans="10:11">
      <c r="J34" s="479"/>
      <c r="K34" s="478"/>
    </row>
    <row r="35" spans="10:11">
      <c r="J35" s="479"/>
      <c r="K35" s="478"/>
    </row>
    <row r="36" spans="10:11">
      <c r="J36" s="479"/>
      <c r="K36" s="478"/>
    </row>
    <row r="37" spans="10:11">
      <c r="J37" s="479"/>
      <c r="K37" s="478"/>
    </row>
    <row r="38" spans="10:11">
      <c r="J38" s="479"/>
      <c r="K38" s="478"/>
    </row>
    <row r="39" spans="10:11">
      <c r="J39" s="479"/>
      <c r="K39" s="478"/>
    </row>
    <row r="40" spans="10:11">
      <c r="J40" s="479"/>
      <c r="K40" s="478"/>
    </row>
    <row r="41" spans="10:11">
      <c r="J41" s="479"/>
      <c r="K41" s="478"/>
    </row>
    <row r="42" spans="10:11">
      <c r="J42" s="479"/>
      <c r="K42" s="478"/>
    </row>
    <row r="43" spans="10:11">
      <c r="J43" s="479"/>
      <c r="K43" s="478"/>
    </row>
    <row r="44" spans="10:11">
      <c r="J44" s="479"/>
      <c r="K44" s="478"/>
    </row>
    <row r="45" spans="10:11">
      <c r="J45" s="479"/>
      <c r="K45" s="478"/>
    </row>
    <row r="46" spans="10:11">
      <c r="J46" s="479"/>
      <c r="K46" s="478"/>
    </row>
    <row r="47" spans="10:11">
      <c r="J47" s="479"/>
      <c r="K47" s="478"/>
    </row>
    <row r="48" spans="10:11">
      <c r="J48" s="479"/>
      <c r="K48" s="478"/>
    </row>
    <row r="49" spans="10:11">
      <c r="J49" s="479"/>
      <c r="K49" s="478"/>
    </row>
    <row r="50" spans="10:11">
      <c r="J50" s="479"/>
      <c r="K50" s="478"/>
    </row>
    <row r="51" spans="10:11">
      <c r="J51" s="479"/>
      <c r="K51" s="478"/>
    </row>
    <row r="52" spans="10:11">
      <c r="J52" s="479"/>
      <c r="K52" s="478"/>
    </row>
    <row r="53" spans="10:11">
      <c r="J53" s="479"/>
      <c r="K53" s="478"/>
    </row>
    <row r="54" spans="10:11">
      <c r="J54" s="479"/>
      <c r="K54" s="478"/>
    </row>
    <row r="55" spans="10:11">
      <c r="J55" s="479"/>
      <c r="K55" s="478"/>
    </row>
    <row r="56" spans="10:11">
      <c r="J56" s="479"/>
      <c r="K56" s="478"/>
    </row>
    <row r="57" spans="10:11">
      <c r="J57" s="479"/>
      <c r="K57" s="478"/>
    </row>
    <row r="58" spans="10:11">
      <c r="J58" s="479"/>
      <c r="K58" s="478"/>
    </row>
    <row r="59" spans="10:11">
      <c r="J59" s="479"/>
      <c r="K59" s="478"/>
    </row>
    <row r="60" spans="10:11">
      <c r="J60" s="479"/>
      <c r="K60" s="478"/>
    </row>
    <row r="61" spans="10:11">
      <c r="J61" s="479"/>
      <c r="K61" s="478"/>
    </row>
  </sheetData>
  <mergeCells count="2">
    <mergeCell ref="AB6:AC6"/>
    <mergeCell ref="B10:C10"/>
  </mergeCells>
  <pageMargins left="0.7" right="0.7" top="0.75" bottom="0.75" header="0.3" footer="0.3"/>
  <pageSetup scale="1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B2B69-449F-4FB5-A307-435745AFF342}">
  <sheetPr codeName="Sheet2"/>
  <dimension ref="B1:E12"/>
  <sheetViews>
    <sheetView showGridLines="0" zoomScale="115" zoomScaleNormal="115" workbookViewId="0">
      <selection activeCell="B4" sqref="B4:E4"/>
    </sheetView>
  </sheetViews>
  <sheetFormatPr defaultRowHeight="14.4"/>
  <cols>
    <col min="3" max="3" width="22.6640625" customWidth="1"/>
    <col min="4" max="4" width="13" customWidth="1"/>
    <col min="5" max="5" width="13.109375" customWidth="1"/>
    <col min="7" max="7" width="13.44140625" customWidth="1"/>
    <col min="8" max="8" width="10.5546875" customWidth="1"/>
    <col min="9" max="9" width="12.109375" customWidth="1"/>
    <col min="10" max="10" width="12" customWidth="1"/>
    <col min="11" max="11" width="13.6640625" customWidth="1"/>
  </cols>
  <sheetData>
    <row r="1" spans="2:5" ht="15" thickBot="1"/>
    <row r="2" spans="2:5" ht="15" thickBot="1">
      <c r="B2" s="645" t="s">
        <v>132</v>
      </c>
      <c r="C2" s="646"/>
      <c r="D2" s="646"/>
      <c r="E2" s="647"/>
    </row>
    <row r="3" spans="2:5">
      <c r="B3" s="651" t="s">
        <v>117</v>
      </c>
      <c r="C3" s="652"/>
      <c r="D3" s="652"/>
      <c r="E3" s="653"/>
    </row>
    <row r="4" spans="2:5">
      <c r="B4" s="648" t="s">
        <v>138</v>
      </c>
      <c r="C4" s="649"/>
      <c r="D4" s="649"/>
      <c r="E4" s="650"/>
    </row>
    <row r="5" spans="2:5">
      <c r="B5" s="332"/>
      <c r="C5" s="333" t="s">
        <v>79</v>
      </c>
      <c r="D5" s="334">
        <v>5874</v>
      </c>
      <c r="E5" s="331"/>
    </row>
    <row r="6" spans="2:5">
      <c r="B6" s="332"/>
      <c r="C6" s="333" t="s">
        <v>69</v>
      </c>
      <c r="D6" s="334">
        <f>D5*1.1</f>
        <v>6461.4000000000005</v>
      </c>
      <c r="E6" s="331"/>
    </row>
    <row r="7" spans="2:5">
      <c r="B7" s="332"/>
      <c r="C7" s="330"/>
      <c r="D7" s="335"/>
      <c r="E7" s="331"/>
    </row>
    <row r="8" spans="2:5">
      <c r="B8" s="332"/>
      <c r="C8" s="333" t="s">
        <v>80</v>
      </c>
      <c r="D8" s="334">
        <v>4736</v>
      </c>
      <c r="E8" s="331"/>
    </row>
    <row r="9" spans="2:5">
      <c r="B9" s="332"/>
      <c r="C9" s="333" t="s">
        <v>69</v>
      </c>
      <c r="D9" s="334">
        <f>D8*1.1</f>
        <v>5209.6000000000004</v>
      </c>
      <c r="E9" s="331"/>
    </row>
    <row r="10" spans="2:5">
      <c r="B10" s="332"/>
      <c r="C10" s="330"/>
      <c r="D10" s="336"/>
      <c r="E10" s="331"/>
    </row>
    <row r="11" spans="2:5">
      <c r="B11" s="337"/>
      <c r="C11" s="333" t="s">
        <v>78</v>
      </c>
      <c r="D11" s="334">
        <v>2534</v>
      </c>
      <c r="E11" s="329"/>
    </row>
    <row r="12" spans="2:5" ht="15" thickBot="1">
      <c r="B12" s="338"/>
      <c r="C12" s="339" t="s">
        <v>69</v>
      </c>
      <c r="D12" s="340">
        <f>D11*1.1</f>
        <v>2787.4</v>
      </c>
      <c r="E12" s="341"/>
    </row>
  </sheetData>
  <mergeCells count="3">
    <mergeCell ref="B2:E2"/>
    <mergeCell ref="B4:E4"/>
    <mergeCell ref="B3:E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97609-5CD0-4EFA-B073-8EE6C0E033B0}">
  <sheetPr codeName="Sheet4"/>
  <dimension ref="A1:H33"/>
  <sheetViews>
    <sheetView showGridLines="0" zoomScale="85" zoomScaleNormal="85" workbookViewId="0">
      <selection activeCell="D5" sqref="D5"/>
    </sheetView>
  </sheetViews>
  <sheetFormatPr defaultColWidth="9.109375" defaultRowHeight="16.8"/>
  <cols>
    <col min="1" max="1" width="39.88671875" style="343" customWidth="1"/>
    <col min="2" max="2" width="36.88671875" style="343" customWidth="1"/>
    <col min="3" max="3" width="22.109375" style="343" customWidth="1"/>
    <col min="4" max="4" width="25.21875" style="343" customWidth="1"/>
    <col min="5" max="5" width="17.21875" style="343" customWidth="1"/>
    <col min="6" max="6" width="26.21875" style="343" customWidth="1"/>
    <col min="7" max="8" width="20.21875" style="343" customWidth="1"/>
    <col min="9" max="16384" width="9.109375" style="343"/>
  </cols>
  <sheetData>
    <row r="1" spans="1:4">
      <c r="A1" s="655" t="s">
        <v>174</v>
      </c>
      <c r="B1" s="655"/>
    </row>
    <row r="2" spans="1:4">
      <c r="A2" s="574" t="s">
        <v>47</v>
      </c>
      <c r="B2" s="575">
        <v>-575006.8005937502</v>
      </c>
    </row>
    <row r="3" spans="1:4">
      <c r="A3" s="576"/>
      <c r="B3" s="576"/>
    </row>
    <row r="4" spans="1:4" ht="17.399999999999999" thickBot="1">
      <c r="A4" s="342" t="s">
        <v>187</v>
      </c>
      <c r="B4" s="342"/>
      <c r="C4" s="342"/>
    </row>
    <row r="5" spans="1:4" ht="33.6">
      <c r="A5" s="513" t="s">
        <v>175</v>
      </c>
      <c r="B5" s="344" t="s">
        <v>47</v>
      </c>
      <c r="C5" s="515" t="s">
        <v>176</v>
      </c>
    </row>
    <row r="6" spans="1:4">
      <c r="A6" s="345" t="s">
        <v>190</v>
      </c>
      <c r="B6" s="351">
        <f>83940*C6</f>
        <v>1585206.9000000001</v>
      </c>
      <c r="C6" s="352">
        <v>18.885000000000002</v>
      </c>
    </row>
    <row r="7" spans="1:4">
      <c r="A7" s="348" t="s">
        <v>191</v>
      </c>
      <c r="B7" s="346">
        <f>83940*C7</f>
        <v>1042366.9199999999</v>
      </c>
      <c r="C7" s="353">
        <v>12.417999999999999</v>
      </c>
    </row>
    <row r="8" spans="1:4">
      <c r="A8" s="354" t="s">
        <v>192</v>
      </c>
      <c r="B8" s="355">
        <f>83940*C8</f>
        <v>816232.56</v>
      </c>
      <c r="C8" s="356">
        <v>9.7240000000000002</v>
      </c>
    </row>
    <row r="9" spans="1:4" ht="17.399999999999999" thickBot="1">
      <c r="A9" s="512" t="s">
        <v>209</v>
      </c>
      <c r="B9" s="350">
        <f>SUM(B6:B8)</f>
        <v>3443806.3800000004</v>
      </c>
      <c r="C9" s="514">
        <f>SUM(C6:C8)</f>
        <v>41.027000000000001</v>
      </c>
    </row>
    <row r="10" spans="1:4">
      <c r="A10" s="348" t="s">
        <v>193</v>
      </c>
      <c r="B10" s="346"/>
      <c r="C10" s="353">
        <v>4.6639999999999997</v>
      </c>
    </row>
    <row r="11" spans="1:4">
      <c r="A11" s="348" t="s">
        <v>194</v>
      </c>
      <c r="B11" s="346"/>
      <c r="C11" s="353">
        <v>3.79</v>
      </c>
    </row>
    <row r="12" spans="1:4">
      <c r="A12" s="348" t="s">
        <v>195</v>
      </c>
      <c r="B12" s="346"/>
      <c r="C12" s="353">
        <v>3.34</v>
      </c>
    </row>
    <row r="13" spans="1:4">
      <c r="A13" s="354" t="s">
        <v>196</v>
      </c>
      <c r="B13" s="355"/>
      <c r="C13" s="356">
        <v>6.6820000000000004</v>
      </c>
    </row>
    <row r="14" spans="1:4" ht="17.399999999999999" thickBot="1">
      <c r="A14" s="512" t="s">
        <v>260</v>
      </c>
      <c r="B14" s="516"/>
      <c r="C14" s="514">
        <f>SUM(C10:C13)</f>
        <v>18.475999999999999</v>
      </c>
      <c r="D14" s="230" t="s">
        <v>261</v>
      </c>
    </row>
    <row r="16" spans="1:4" ht="17.399999999999999" thickBot="1">
      <c r="A16" s="342" t="s">
        <v>230</v>
      </c>
      <c r="B16" s="357"/>
      <c r="C16" s="357"/>
    </row>
    <row r="17" spans="1:8">
      <c r="A17" s="509"/>
      <c r="B17" s="362" t="s">
        <v>47</v>
      </c>
      <c r="C17" s="358"/>
    </row>
    <row r="18" spans="1:8">
      <c r="A18" s="348" t="s">
        <v>199</v>
      </c>
      <c r="B18" s="363">
        <f>B28</f>
        <v>518123.03</v>
      </c>
      <c r="C18" s="359"/>
    </row>
    <row r="19" spans="1:8">
      <c r="A19" s="354" t="s">
        <v>200</v>
      </c>
      <c r="B19" s="364">
        <f>B9/2</f>
        <v>1721903.1900000002</v>
      </c>
      <c r="C19" s="360" t="s">
        <v>201</v>
      </c>
    </row>
    <row r="20" spans="1:8" ht="17.399999999999999" thickBot="1">
      <c r="A20" s="512" t="s">
        <v>202</v>
      </c>
      <c r="B20" s="365">
        <f t="shared" ref="B20" si="0">SUM(B18:B19)</f>
        <v>2240026.2200000002</v>
      </c>
      <c r="C20" s="361"/>
    </row>
    <row r="22" spans="1:8" ht="17.399999999999999" thickBot="1">
      <c r="A22" s="518" t="s">
        <v>237</v>
      </c>
      <c r="B22" s="342"/>
      <c r="C22" s="342"/>
    </row>
    <row r="23" spans="1:8" ht="36" customHeight="1">
      <c r="A23" s="509" t="s">
        <v>175</v>
      </c>
      <c r="B23" s="517" t="s">
        <v>47</v>
      </c>
      <c r="C23" s="510" t="s">
        <v>176</v>
      </c>
    </row>
    <row r="24" spans="1:8">
      <c r="A24" s="345" t="s">
        <v>177</v>
      </c>
      <c r="B24" s="346">
        <v>22178.235000000001</v>
      </c>
      <c r="C24" s="347">
        <v>0.53900000000000003</v>
      </c>
    </row>
    <row r="25" spans="1:8">
      <c r="A25" s="348" t="s">
        <v>178</v>
      </c>
      <c r="B25" s="346">
        <v>53861.425000000003</v>
      </c>
      <c r="C25" s="349">
        <v>1.3089999999999999</v>
      </c>
    </row>
    <row r="26" spans="1:8">
      <c r="A26" s="348" t="s">
        <v>179</v>
      </c>
      <c r="B26" s="346">
        <v>311441.64500000002</v>
      </c>
      <c r="C26" s="349">
        <v>7.569</v>
      </c>
    </row>
    <row r="27" spans="1:8">
      <c r="A27" s="348" t="s">
        <v>180</v>
      </c>
      <c r="B27" s="346">
        <v>130641.72500000001</v>
      </c>
      <c r="C27" s="349">
        <v>3.1749999999999998</v>
      </c>
    </row>
    <row r="28" spans="1:8" ht="17.399999999999999" thickBot="1">
      <c r="A28" s="512" t="s">
        <v>10</v>
      </c>
      <c r="B28" s="350">
        <f t="shared" ref="B28:C28" si="1">SUM(B24:B27)</f>
        <v>518123.03</v>
      </c>
      <c r="C28" s="511">
        <f t="shared" si="1"/>
        <v>12.591999999999999</v>
      </c>
    </row>
    <row r="30" spans="1:8" ht="17.399999999999999" thickBot="1">
      <c r="A30" s="654" t="s">
        <v>203</v>
      </c>
      <c r="B30" s="654"/>
      <c r="C30" s="654"/>
      <c r="D30" s="654"/>
      <c r="E30" s="654"/>
      <c r="F30" s="654"/>
      <c r="G30" s="654"/>
      <c r="H30" s="654"/>
    </row>
    <row r="31" spans="1:8">
      <c r="A31" s="509"/>
      <c r="B31" s="362" t="s">
        <v>47</v>
      </c>
      <c r="C31" s="358"/>
    </row>
    <row r="32" spans="1:8">
      <c r="A32" s="354" t="s">
        <v>200</v>
      </c>
      <c r="B32" s="364">
        <f>B9/2</f>
        <v>1721903.1900000002</v>
      </c>
      <c r="C32" s="360"/>
    </row>
    <row r="33" spans="1:3" ht="17.399999999999999" thickBot="1">
      <c r="A33" s="512" t="s">
        <v>203</v>
      </c>
      <c r="B33" s="365">
        <f t="shared" ref="B33" si="2">SUM(B32:B32)</f>
        <v>1721903.1900000002</v>
      </c>
      <c r="C33" s="361"/>
    </row>
  </sheetData>
  <mergeCells count="2">
    <mergeCell ref="A30:H30"/>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33A78-5709-4F7F-9207-D13184581B3A}">
  <sheetPr codeName="Sheet8">
    <tabColor theme="0" tint="-0.14999847407452621"/>
  </sheetPr>
  <dimension ref="A2:T124"/>
  <sheetViews>
    <sheetView showGridLines="0" zoomScale="70" zoomScaleNormal="70" workbookViewId="0">
      <selection activeCell="S24" sqref="S24"/>
    </sheetView>
  </sheetViews>
  <sheetFormatPr defaultColWidth="8.5546875" defaultRowHeight="15" customHeight="1"/>
  <cols>
    <col min="1" max="1" width="22" style="13" customWidth="1"/>
    <col min="2" max="2" width="14.5546875" style="57" customWidth="1"/>
    <col min="3" max="3" width="22.109375" style="57" customWidth="1"/>
    <col min="4" max="4" width="23.21875" style="57" customWidth="1"/>
    <col min="5" max="5" width="15.44140625" style="57" customWidth="1"/>
    <col min="6" max="6" width="14.88671875" style="57" customWidth="1"/>
    <col min="7" max="12" width="14.5546875" style="57" customWidth="1"/>
    <col min="13" max="13" width="8.88671875" style="57" customWidth="1"/>
    <col min="14" max="14" width="11.6640625" style="57" customWidth="1"/>
    <col min="15" max="15" width="13.6640625" style="57" customWidth="1"/>
    <col min="16" max="16" width="3.109375" style="57" customWidth="1"/>
    <col min="17" max="17" width="37.44140625" style="54" customWidth="1"/>
    <col min="18" max="18" width="30.6640625" style="13" customWidth="1"/>
    <col min="19" max="19" width="64.5546875" style="13" customWidth="1"/>
    <col min="20" max="20" width="39.21875" style="13" customWidth="1"/>
    <col min="21" max="16384" width="8.5546875" style="13"/>
  </cols>
  <sheetData>
    <row r="2" spans="2:18" ht="15" customHeight="1" thickBot="1"/>
    <row r="3" spans="2:18" ht="30" customHeight="1" thickBot="1">
      <c r="B3" s="197" t="s">
        <v>160</v>
      </c>
      <c r="Q3" s="317" t="s">
        <v>221</v>
      </c>
      <c r="R3" s="595">
        <f>'2026 Collections Summary'!$C$14</f>
        <v>18.475999999999999</v>
      </c>
    </row>
    <row r="4" spans="2:18" ht="15" customHeight="1" thickBot="1">
      <c r="B4" s="15" t="s">
        <v>161</v>
      </c>
    </row>
    <row r="5" spans="2:18" ht="15" hidden="1" customHeight="1"/>
    <row r="6" spans="2:18" ht="15" hidden="1" customHeight="1" thickBot="1">
      <c r="R6" s="313"/>
    </row>
    <row r="7" spans="2:18" ht="15" hidden="1" customHeight="1">
      <c r="R7" s="460">
        <f t="shared" ref="R7" si="0">SUM(R15:R124)</f>
        <v>714.50000000000011</v>
      </c>
    </row>
    <row r="8" spans="2:18" ht="15" hidden="1" customHeight="1" thickBot="1">
      <c r="R8" s="461">
        <f t="shared" ref="R8" si="1">R14</f>
        <v>714.50000000000011</v>
      </c>
    </row>
    <row r="9" spans="2:18" ht="12.75" hidden="1" customHeight="1"/>
    <row r="10" spans="2:18" ht="15" hidden="1" customHeight="1" thickBot="1"/>
    <row r="11" spans="2:18" ht="60" customHeight="1" thickBot="1">
      <c r="B11" s="658" t="s">
        <v>224</v>
      </c>
      <c r="C11" s="659"/>
      <c r="D11" s="659"/>
      <c r="E11" s="659"/>
      <c r="F11" s="659"/>
      <c r="G11" s="659"/>
      <c r="H11" s="659"/>
      <c r="I11" s="659"/>
      <c r="J11" s="659"/>
      <c r="K11" s="659"/>
      <c r="L11" s="660"/>
      <c r="M11" s="194"/>
      <c r="N11" s="663" t="s">
        <v>223</v>
      </c>
      <c r="O11" s="663"/>
      <c r="P11" s="194"/>
      <c r="Q11" s="656" t="s">
        <v>163</v>
      </c>
      <c r="R11" s="657"/>
    </row>
    <row r="12" spans="2:18" ht="44.25" customHeight="1" thickBot="1">
      <c r="B12" s="203" t="s">
        <v>9</v>
      </c>
      <c r="C12" s="149" t="s">
        <v>29</v>
      </c>
      <c r="D12" s="149" t="s">
        <v>136</v>
      </c>
      <c r="E12" s="149" t="s">
        <v>30</v>
      </c>
      <c r="F12" s="149" t="s">
        <v>133</v>
      </c>
      <c r="G12" s="149" t="s">
        <v>134</v>
      </c>
      <c r="H12" s="149" t="s">
        <v>135</v>
      </c>
      <c r="I12" s="149" t="s">
        <v>45</v>
      </c>
      <c r="J12" s="149" t="s">
        <v>46</v>
      </c>
      <c r="K12" s="149" t="s">
        <v>22</v>
      </c>
      <c r="L12" s="204" t="s">
        <v>44</v>
      </c>
      <c r="M12" s="195"/>
      <c r="N12" s="661" t="s">
        <v>188</v>
      </c>
      <c r="O12" s="662"/>
      <c r="P12" s="195"/>
      <c r="Q12" s="199" t="s">
        <v>100</v>
      </c>
      <c r="R12" s="200" t="s">
        <v>162</v>
      </c>
    </row>
    <row r="13" spans="2:18" ht="51.75" customHeight="1" thickBot="1">
      <c r="B13" s="163"/>
      <c r="C13" s="150"/>
      <c r="D13" s="151"/>
      <c r="E13" s="151"/>
      <c r="F13" s="151"/>
      <c r="G13" s="152"/>
      <c r="H13" s="152"/>
      <c r="I13" s="152"/>
      <c r="J13" s="152"/>
      <c r="K13" s="56"/>
      <c r="L13" s="164"/>
      <c r="M13" s="196"/>
      <c r="N13" s="295" t="s">
        <v>189</v>
      </c>
      <c r="O13" s="296" t="s">
        <v>124</v>
      </c>
      <c r="P13" s="196"/>
      <c r="Q13" s="201"/>
      <c r="R13" s="202"/>
    </row>
    <row r="14" spans="2:18" ht="51" customHeight="1" thickBot="1">
      <c r="B14" s="205">
        <v>2025</v>
      </c>
      <c r="C14" s="206">
        <f>(D15-D14)/D14</f>
        <v>4.6263664058299979E-2</v>
      </c>
      <c r="D14" s="207">
        <v>33482</v>
      </c>
      <c r="E14" s="207">
        <v>1549</v>
      </c>
      <c r="F14" s="207">
        <v>934</v>
      </c>
      <c r="G14" s="208">
        <v>19.03</v>
      </c>
      <c r="H14" s="208">
        <v>9.5500000000000007</v>
      </c>
      <c r="I14" s="208">
        <f>+G14+I13</f>
        <v>19.03</v>
      </c>
      <c r="J14" s="208">
        <f>+H14+J13</f>
        <v>9.5500000000000007</v>
      </c>
      <c r="K14" s="209">
        <f t="shared" ref="K14:K77" si="2">ROUND(G14+H14,2)</f>
        <v>28.58</v>
      </c>
      <c r="L14" s="210">
        <v>0</v>
      </c>
      <c r="M14" s="196"/>
      <c r="N14" s="294">
        <v>0</v>
      </c>
      <c r="O14" s="297">
        <v>0</v>
      </c>
      <c r="P14" s="288"/>
      <c r="Q14" s="318" t="s">
        <v>222</v>
      </c>
      <c r="R14" s="287">
        <v>714.50000000000011</v>
      </c>
    </row>
    <row r="15" spans="2:18" ht="15" customHeight="1">
      <c r="B15" s="157">
        <v>2026</v>
      </c>
      <c r="C15" s="158">
        <f t="shared" ref="C15:C76" si="3">(D16-D15)/D15</f>
        <v>4.4217978362022209E-2</v>
      </c>
      <c r="D15" s="159">
        <f>E15+D14</f>
        <v>35031</v>
      </c>
      <c r="E15" s="159">
        <f t="shared" ref="E15:E78" si="4">+E14</f>
        <v>1549</v>
      </c>
      <c r="F15" s="159">
        <v>934</v>
      </c>
      <c r="G15" s="160">
        <v>19.03</v>
      </c>
      <c r="H15" s="160">
        <v>9.5500000000000007</v>
      </c>
      <c r="I15" s="160">
        <f t="shared" ref="I15:J29" si="5">+G15+I14</f>
        <v>38.06</v>
      </c>
      <c r="J15" s="160">
        <f t="shared" si="5"/>
        <v>19.100000000000001</v>
      </c>
      <c r="K15" s="161">
        <f>ROUND(G15+H15,2)</f>
        <v>28.58</v>
      </c>
      <c r="L15" s="162">
        <f t="shared" ref="L15:L78" si="6">+K15+L14</f>
        <v>28.58</v>
      </c>
      <c r="M15" s="196"/>
      <c r="N15" s="306">
        <f>R3</f>
        <v>18.475999999999999</v>
      </c>
      <c r="O15" s="291">
        <f>N15</f>
        <v>18.475999999999999</v>
      </c>
      <c r="P15" s="196"/>
      <c r="Q15" s="157">
        <v>2026</v>
      </c>
      <c r="R15" s="305">
        <f>IF($R$14&gt;O15,N15,IF($R$14-O14&gt;0,$R$14-O14,0))</f>
        <v>18.475999999999999</v>
      </c>
    </row>
    <row r="16" spans="2:18" ht="15" customHeight="1">
      <c r="B16" s="163">
        <v>2027</v>
      </c>
      <c r="C16" s="150">
        <f t="shared" si="3"/>
        <v>4.2345544013121926E-2</v>
      </c>
      <c r="D16" s="151">
        <f>E16+D15</f>
        <v>36580</v>
      </c>
      <c r="E16" s="151">
        <f t="shared" si="4"/>
        <v>1549</v>
      </c>
      <c r="F16" s="151">
        <v>934</v>
      </c>
      <c r="G16" s="152">
        <v>19.03</v>
      </c>
      <c r="H16" s="152">
        <v>9.5500000000000007</v>
      </c>
      <c r="I16" s="152">
        <f t="shared" si="5"/>
        <v>57.09</v>
      </c>
      <c r="J16" s="152">
        <f t="shared" si="5"/>
        <v>28.650000000000002</v>
      </c>
      <c r="K16" s="56">
        <f t="shared" si="2"/>
        <v>28.58</v>
      </c>
      <c r="L16" s="164">
        <f t="shared" si="6"/>
        <v>57.16</v>
      </c>
      <c r="M16" s="196"/>
      <c r="N16" s="292">
        <f>K16</f>
        <v>28.58</v>
      </c>
      <c r="O16" s="289">
        <f>N16+O15</f>
        <v>47.055999999999997</v>
      </c>
      <c r="P16" s="196"/>
      <c r="Q16" s="163">
        <v>2027</v>
      </c>
      <c r="R16" s="298">
        <f t="shared" ref="R16:R79" si="7">IF($R$14&gt;O16,N16,IF($R$14-O15&gt;0,$R$14-O15,0))</f>
        <v>28.58</v>
      </c>
    </row>
    <row r="17" spans="1:18" ht="15" customHeight="1">
      <c r="B17" s="163">
        <v>2028</v>
      </c>
      <c r="C17" s="150">
        <f>(D18-D17)/D17</f>
        <v>4.0625245875842535E-2</v>
      </c>
      <c r="D17" s="151">
        <f t="shared" ref="D17:D77" si="8">E17+D16</f>
        <v>38129</v>
      </c>
      <c r="E17" s="151">
        <f t="shared" si="4"/>
        <v>1549</v>
      </c>
      <c r="F17" s="151">
        <v>934</v>
      </c>
      <c r="G17" s="152">
        <v>19.03</v>
      </c>
      <c r="H17" s="152">
        <v>9.5500000000000007</v>
      </c>
      <c r="I17" s="152">
        <f t="shared" si="5"/>
        <v>76.12</v>
      </c>
      <c r="J17" s="152">
        <f t="shared" si="5"/>
        <v>38.200000000000003</v>
      </c>
      <c r="K17" s="56">
        <f t="shared" si="2"/>
        <v>28.58</v>
      </c>
      <c r="L17" s="164">
        <f t="shared" si="6"/>
        <v>85.74</v>
      </c>
      <c r="M17" s="196"/>
      <c r="N17" s="292">
        <f t="shared" ref="N17:N80" si="9">K17</f>
        <v>28.58</v>
      </c>
      <c r="O17" s="289">
        <f t="shared" ref="O17:O80" si="10">N17+O16</f>
        <v>75.635999999999996</v>
      </c>
      <c r="P17" s="196"/>
      <c r="Q17" s="163">
        <v>2028</v>
      </c>
      <c r="R17" s="298">
        <f t="shared" si="7"/>
        <v>28.58</v>
      </c>
    </row>
    <row r="18" spans="1:18" ht="15" customHeight="1">
      <c r="B18" s="163">
        <v>2029</v>
      </c>
      <c r="C18" s="150">
        <f t="shared" si="3"/>
        <v>3.9039266092040927E-2</v>
      </c>
      <c r="D18" s="151">
        <f t="shared" si="8"/>
        <v>39678</v>
      </c>
      <c r="E18" s="151">
        <f t="shared" si="4"/>
        <v>1549</v>
      </c>
      <c r="F18" s="151">
        <v>934</v>
      </c>
      <c r="G18" s="152">
        <v>19.03</v>
      </c>
      <c r="H18" s="152">
        <v>9.5500000000000007</v>
      </c>
      <c r="I18" s="152">
        <f t="shared" si="5"/>
        <v>95.15</v>
      </c>
      <c r="J18" s="152">
        <f t="shared" si="5"/>
        <v>47.75</v>
      </c>
      <c r="K18" s="56">
        <f t="shared" si="2"/>
        <v>28.58</v>
      </c>
      <c r="L18" s="164">
        <f t="shared" si="6"/>
        <v>114.32</v>
      </c>
      <c r="M18" s="196"/>
      <c r="N18" s="292">
        <f t="shared" si="9"/>
        <v>28.58</v>
      </c>
      <c r="O18" s="289">
        <f t="shared" si="10"/>
        <v>104.21599999999999</v>
      </c>
      <c r="P18" s="196"/>
      <c r="Q18" s="163">
        <v>2029</v>
      </c>
      <c r="R18" s="298">
        <f t="shared" si="7"/>
        <v>28.58</v>
      </c>
    </row>
    <row r="19" spans="1:18" ht="15" customHeight="1">
      <c r="B19" s="163">
        <v>2030</v>
      </c>
      <c r="C19" s="150">
        <f t="shared" si="3"/>
        <v>3.7572464646954663E-2</v>
      </c>
      <c r="D19" s="151">
        <f t="shared" si="8"/>
        <v>41227</v>
      </c>
      <c r="E19" s="151">
        <f t="shared" si="4"/>
        <v>1549</v>
      </c>
      <c r="F19" s="151">
        <v>934</v>
      </c>
      <c r="G19" s="152">
        <v>19.03</v>
      </c>
      <c r="H19" s="152">
        <v>9.5500000000000007</v>
      </c>
      <c r="I19" s="152">
        <f t="shared" si="5"/>
        <v>114.18</v>
      </c>
      <c r="J19" s="152">
        <f t="shared" si="5"/>
        <v>57.3</v>
      </c>
      <c r="K19" s="56">
        <f t="shared" si="2"/>
        <v>28.58</v>
      </c>
      <c r="L19" s="164">
        <f t="shared" si="6"/>
        <v>142.89999999999998</v>
      </c>
      <c r="M19" s="196"/>
      <c r="N19" s="292">
        <f t="shared" si="9"/>
        <v>28.58</v>
      </c>
      <c r="O19" s="289">
        <f t="shared" si="10"/>
        <v>132.79599999999999</v>
      </c>
      <c r="P19" s="196"/>
      <c r="Q19" s="163">
        <v>2030</v>
      </c>
      <c r="R19" s="298">
        <f t="shared" si="7"/>
        <v>28.58</v>
      </c>
    </row>
    <row r="20" spans="1:18" ht="15" customHeight="1">
      <c r="B20" s="163">
        <v>2031</v>
      </c>
      <c r="C20" s="150">
        <f>(D21-D20)/D20</f>
        <v>3.6211894520291756E-2</v>
      </c>
      <c r="D20" s="151">
        <f t="shared" si="8"/>
        <v>42776</v>
      </c>
      <c r="E20" s="151">
        <f t="shared" si="4"/>
        <v>1549</v>
      </c>
      <c r="F20" s="151">
        <v>934</v>
      </c>
      <c r="G20" s="152">
        <v>19.03</v>
      </c>
      <c r="H20" s="152">
        <v>9.5500000000000007</v>
      </c>
      <c r="I20" s="152">
        <f t="shared" si="5"/>
        <v>133.21</v>
      </c>
      <c r="J20" s="152">
        <f t="shared" si="5"/>
        <v>66.849999999999994</v>
      </c>
      <c r="K20" s="56">
        <f t="shared" si="2"/>
        <v>28.58</v>
      </c>
      <c r="L20" s="164">
        <f t="shared" si="6"/>
        <v>171.47999999999996</v>
      </c>
      <c r="M20" s="196"/>
      <c r="N20" s="292">
        <f t="shared" si="9"/>
        <v>28.58</v>
      </c>
      <c r="O20" s="289">
        <f t="shared" si="10"/>
        <v>161.37599999999998</v>
      </c>
      <c r="P20" s="196"/>
      <c r="Q20" s="163">
        <v>2031</v>
      </c>
      <c r="R20" s="298">
        <f t="shared" si="7"/>
        <v>28.58</v>
      </c>
    </row>
    <row r="21" spans="1:18" ht="15" customHeight="1">
      <c r="B21" s="163">
        <v>2032</v>
      </c>
      <c r="C21" s="150">
        <f t="shared" si="3"/>
        <v>3.4946418499717989E-2</v>
      </c>
      <c r="D21" s="151">
        <f t="shared" si="8"/>
        <v>44325</v>
      </c>
      <c r="E21" s="151">
        <f t="shared" si="4"/>
        <v>1549</v>
      </c>
      <c r="F21" s="151">
        <v>934</v>
      </c>
      <c r="G21" s="152">
        <v>19.03</v>
      </c>
      <c r="H21" s="152">
        <v>9.5500000000000007</v>
      </c>
      <c r="I21" s="152">
        <f t="shared" si="5"/>
        <v>152.24</v>
      </c>
      <c r="J21" s="152">
        <f t="shared" si="5"/>
        <v>76.399999999999991</v>
      </c>
      <c r="K21" s="56">
        <f t="shared" si="2"/>
        <v>28.58</v>
      </c>
      <c r="L21" s="164">
        <f t="shared" si="6"/>
        <v>200.05999999999995</v>
      </c>
      <c r="M21" s="196"/>
      <c r="N21" s="292">
        <f t="shared" si="9"/>
        <v>28.58</v>
      </c>
      <c r="O21" s="289">
        <f t="shared" si="10"/>
        <v>189.95599999999996</v>
      </c>
      <c r="P21" s="196"/>
      <c r="Q21" s="163">
        <v>2032</v>
      </c>
      <c r="R21" s="298">
        <f t="shared" si="7"/>
        <v>28.58</v>
      </c>
    </row>
    <row r="22" spans="1:18" ht="15" customHeight="1">
      <c r="B22" s="163">
        <v>2033</v>
      </c>
      <c r="C22" s="150">
        <f t="shared" si="3"/>
        <v>3.3766403627327024E-2</v>
      </c>
      <c r="D22" s="151">
        <f>E22+D21</f>
        <v>45874</v>
      </c>
      <c r="E22" s="151">
        <f t="shared" si="4"/>
        <v>1549</v>
      </c>
      <c r="F22" s="151">
        <v>934</v>
      </c>
      <c r="G22" s="152">
        <v>19.03</v>
      </c>
      <c r="H22" s="152">
        <v>9.5500000000000007</v>
      </c>
      <c r="I22" s="152">
        <f t="shared" si="5"/>
        <v>171.27</v>
      </c>
      <c r="J22" s="152">
        <f t="shared" si="5"/>
        <v>85.949999999999989</v>
      </c>
      <c r="K22" s="56">
        <f t="shared" si="2"/>
        <v>28.58</v>
      </c>
      <c r="L22" s="164">
        <f t="shared" si="6"/>
        <v>228.63999999999993</v>
      </c>
      <c r="M22" s="196"/>
      <c r="N22" s="292">
        <f t="shared" si="9"/>
        <v>28.58</v>
      </c>
      <c r="O22" s="289">
        <f t="shared" si="10"/>
        <v>218.53599999999994</v>
      </c>
      <c r="P22" s="196"/>
      <c r="Q22" s="163">
        <v>2033</v>
      </c>
      <c r="R22" s="298">
        <f t="shared" si="7"/>
        <v>28.58</v>
      </c>
    </row>
    <row r="23" spans="1:18" ht="15" customHeight="1">
      <c r="B23" s="163">
        <v>2034</v>
      </c>
      <c r="C23" s="150">
        <f t="shared" si="3"/>
        <v>3.2663475528751873E-2</v>
      </c>
      <c r="D23" s="151">
        <f t="shared" si="8"/>
        <v>47423</v>
      </c>
      <c r="E23" s="151">
        <f t="shared" si="4"/>
        <v>1549</v>
      </c>
      <c r="F23" s="151">
        <v>934</v>
      </c>
      <c r="G23" s="152">
        <v>19.03</v>
      </c>
      <c r="H23" s="152">
        <v>9.5500000000000007</v>
      </c>
      <c r="I23" s="152">
        <f t="shared" si="5"/>
        <v>190.3</v>
      </c>
      <c r="J23" s="152">
        <f t="shared" si="5"/>
        <v>95.499999999999986</v>
      </c>
      <c r="K23" s="56">
        <f t="shared" si="2"/>
        <v>28.58</v>
      </c>
      <c r="L23" s="164">
        <f t="shared" si="6"/>
        <v>257.21999999999991</v>
      </c>
      <c r="M23" s="196"/>
      <c r="N23" s="292">
        <f t="shared" si="9"/>
        <v>28.58</v>
      </c>
      <c r="O23" s="289">
        <f t="shared" si="10"/>
        <v>247.11599999999993</v>
      </c>
      <c r="P23" s="196"/>
      <c r="Q23" s="163">
        <v>2034</v>
      </c>
      <c r="R23" s="298">
        <f t="shared" si="7"/>
        <v>28.58</v>
      </c>
    </row>
    <row r="24" spans="1:18" ht="15" customHeight="1">
      <c r="B24" s="163">
        <v>2035</v>
      </c>
      <c r="C24" s="150">
        <f t="shared" si="3"/>
        <v>3.1630319366168426E-2</v>
      </c>
      <c r="D24" s="151">
        <f t="shared" si="8"/>
        <v>48972</v>
      </c>
      <c r="E24" s="151">
        <f t="shared" si="4"/>
        <v>1549</v>
      </c>
      <c r="F24" s="151">
        <v>934</v>
      </c>
      <c r="G24" s="152">
        <v>19.03</v>
      </c>
      <c r="H24" s="152">
        <v>9.5500000000000007</v>
      </c>
      <c r="I24" s="152">
        <f t="shared" si="5"/>
        <v>209.33</v>
      </c>
      <c r="J24" s="152">
        <f t="shared" si="5"/>
        <v>105.04999999999998</v>
      </c>
      <c r="K24" s="56">
        <f t="shared" si="2"/>
        <v>28.58</v>
      </c>
      <c r="L24" s="164">
        <f t="shared" si="6"/>
        <v>285.7999999999999</v>
      </c>
      <c r="M24" s="196"/>
      <c r="N24" s="292">
        <f t="shared" si="9"/>
        <v>28.58</v>
      </c>
      <c r="O24" s="289">
        <f t="shared" si="10"/>
        <v>275.69599999999991</v>
      </c>
      <c r="P24" s="196"/>
      <c r="Q24" s="163">
        <v>2035</v>
      </c>
      <c r="R24" s="298">
        <f t="shared" si="7"/>
        <v>28.58</v>
      </c>
    </row>
    <row r="25" spans="1:18" ht="15" customHeight="1">
      <c r="B25" s="163">
        <v>2036</v>
      </c>
      <c r="C25" s="150">
        <f t="shared" si="3"/>
        <v>3.0660517408602362E-2</v>
      </c>
      <c r="D25" s="151">
        <f t="shared" si="8"/>
        <v>50521</v>
      </c>
      <c r="E25" s="151">
        <f t="shared" si="4"/>
        <v>1549</v>
      </c>
      <c r="F25" s="151">
        <v>934</v>
      </c>
      <c r="G25" s="152">
        <v>19.03</v>
      </c>
      <c r="H25" s="152">
        <v>9.5500000000000007</v>
      </c>
      <c r="I25" s="152">
        <f t="shared" si="5"/>
        <v>228.36</v>
      </c>
      <c r="J25" s="152">
        <f t="shared" si="5"/>
        <v>114.59999999999998</v>
      </c>
      <c r="K25" s="56">
        <f t="shared" si="2"/>
        <v>28.58</v>
      </c>
      <c r="L25" s="164">
        <f t="shared" si="6"/>
        <v>314.37999999999988</v>
      </c>
      <c r="M25" s="196"/>
      <c r="N25" s="292">
        <f t="shared" si="9"/>
        <v>28.58</v>
      </c>
      <c r="O25" s="289">
        <f t="shared" si="10"/>
        <v>304.2759999999999</v>
      </c>
      <c r="P25" s="196"/>
      <c r="Q25" s="163">
        <v>2036</v>
      </c>
      <c r="R25" s="298">
        <f t="shared" si="7"/>
        <v>28.58</v>
      </c>
    </row>
    <row r="26" spans="1:18" ht="15" customHeight="1">
      <c r="B26" s="163">
        <v>2037</v>
      </c>
      <c r="C26" s="150">
        <f t="shared" si="3"/>
        <v>2.9748415594392164E-2</v>
      </c>
      <c r="D26" s="151">
        <f t="shared" si="8"/>
        <v>52070</v>
      </c>
      <c r="E26" s="151">
        <f t="shared" si="4"/>
        <v>1549</v>
      </c>
      <c r="F26" s="151">
        <v>934</v>
      </c>
      <c r="G26" s="152">
        <v>19.03</v>
      </c>
      <c r="H26" s="152">
        <v>9.5500000000000007</v>
      </c>
      <c r="I26" s="152">
        <f t="shared" si="5"/>
        <v>247.39000000000001</v>
      </c>
      <c r="J26" s="152">
        <f t="shared" si="5"/>
        <v>124.14999999999998</v>
      </c>
      <c r="K26" s="56">
        <f t="shared" si="2"/>
        <v>28.58</v>
      </c>
      <c r="L26" s="164">
        <f t="shared" si="6"/>
        <v>342.95999999999987</v>
      </c>
      <c r="M26" s="196"/>
      <c r="N26" s="292">
        <f t="shared" si="9"/>
        <v>28.58</v>
      </c>
      <c r="O26" s="289">
        <f t="shared" si="10"/>
        <v>332.85599999999988</v>
      </c>
      <c r="P26" s="196"/>
      <c r="Q26" s="163">
        <v>2037</v>
      </c>
      <c r="R26" s="298">
        <f t="shared" si="7"/>
        <v>28.58</v>
      </c>
    </row>
    <row r="27" spans="1:18" ht="15" customHeight="1">
      <c r="B27" s="163">
        <v>2038</v>
      </c>
      <c r="C27" s="150">
        <f t="shared" si="3"/>
        <v>2.8889013222924708E-2</v>
      </c>
      <c r="D27" s="151">
        <f t="shared" si="8"/>
        <v>53619</v>
      </c>
      <c r="E27" s="151">
        <f t="shared" si="4"/>
        <v>1549</v>
      </c>
      <c r="F27" s="151">
        <v>934</v>
      </c>
      <c r="G27" s="152">
        <v>19.03</v>
      </c>
      <c r="H27" s="152">
        <v>9.5500000000000007</v>
      </c>
      <c r="I27" s="152">
        <f t="shared" si="5"/>
        <v>266.42</v>
      </c>
      <c r="J27" s="152">
        <f t="shared" si="5"/>
        <v>133.69999999999999</v>
      </c>
      <c r="K27" s="56">
        <f t="shared" si="2"/>
        <v>28.58</v>
      </c>
      <c r="L27" s="164">
        <f t="shared" si="6"/>
        <v>371.53999999999985</v>
      </c>
      <c r="M27" s="196"/>
      <c r="N27" s="292">
        <f t="shared" si="9"/>
        <v>28.58</v>
      </c>
      <c r="O27" s="289">
        <f t="shared" si="10"/>
        <v>361.43599999999986</v>
      </c>
      <c r="P27" s="196"/>
      <c r="Q27" s="163">
        <v>2038</v>
      </c>
      <c r="R27" s="298">
        <f t="shared" si="7"/>
        <v>28.58</v>
      </c>
    </row>
    <row r="28" spans="1:18" ht="15" customHeight="1">
      <c r="B28" s="163">
        <v>2039</v>
      </c>
      <c r="C28" s="150">
        <f t="shared" si="3"/>
        <v>2.8077871229698376E-2</v>
      </c>
      <c r="D28" s="151">
        <f t="shared" si="8"/>
        <v>55168</v>
      </c>
      <c r="E28" s="151">
        <f t="shared" si="4"/>
        <v>1549</v>
      </c>
      <c r="F28" s="151">
        <v>934</v>
      </c>
      <c r="G28" s="152">
        <v>19.03</v>
      </c>
      <c r="H28" s="152">
        <v>9.5500000000000007</v>
      </c>
      <c r="I28" s="152">
        <f t="shared" si="5"/>
        <v>285.45000000000005</v>
      </c>
      <c r="J28" s="152">
        <f t="shared" si="5"/>
        <v>143.25</v>
      </c>
      <c r="K28" s="56">
        <f t="shared" si="2"/>
        <v>28.58</v>
      </c>
      <c r="L28" s="164">
        <f t="shared" si="6"/>
        <v>400.11999999999983</v>
      </c>
      <c r="M28" s="196"/>
      <c r="N28" s="292">
        <f t="shared" si="9"/>
        <v>28.58</v>
      </c>
      <c r="O28" s="289">
        <f t="shared" si="10"/>
        <v>390.01599999999985</v>
      </c>
      <c r="P28" s="196"/>
      <c r="Q28" s="163">
        <v>2039</v>
      </c>
      <c r="R28" s="298">
        <f t="shared" si="7"/>
        <v>28.58</v>
      </c>
    </row>
    <row r="29" spans="1:18" ht="15" customHeight="1">
      <c r="B29" s="163">
        <v>2040</v>
      </c>
      <c r="C29" s="150">
        <f t="shared" si="3"/>
        <v>2.7311035492004161E-2</v>
      </c>
      <c r="D29" s="151">
        <f t="shared" si="8"/>
        <v>56717</v>
      </c>
      <c r="E29" s="151">
        <f t="shared" si="4"/>
        <v>1549</v>
      </c>
      <c r="F29" s="151">
        <v>934</v>
      </c>
      <c r="G29" s="152">
        <v>19.03</v>
      </c>
      <c r="H29" s="152">
        <v>9.5500000000000007</v>
      </c>
      <c r="I29" s="152">
        <f t="shared" si="5"/>
        <v>304.48</v>
      </c>
      <c r="J29" s="152">
        <f t="shared" si="5"/>
        <v>152.80000000000001</v>
      </c>
      <c r="K29" s="56">
        <f t="shared" si="2"/>
        <v>28.58</v>
      </c>
      <c r="L29" s="164">
        <f t="shared" si="6"/>
        <v>428.69999999999982</v>
      </c>
      <c r="M29" s="196"/>
      <c r="N29" s="292">
        <f t="shared" si="9"/>
        <v>28.58</v>
      </c>
      <c r="O29" s="289">
        <f t="shared" si="10"/>
        <v>418.59599999999983</v>
      </c>
      <c r="P29" s="196"/>
      <c r="Q29" s="163">
        <v>2040</v>
      </c>
      <c r="R29" s="298">
        <f t="shared" si="7"/>
        <v>28.58</v>
      </c>
    </row>
    <row r="30" spans="1:18" ht="15" customHeight="1">
      <c r="A30" s="165"/>
      <c r="B30" s="163">
        <v>2041</v>
      </c>
      <c r="C30" s="150">
        <f t="shared" si="3"/>
        <v>2.6584972368104899E-2</v>
      </c>
      <c r="D30" s="151">
        <f t="shared" si="8"/>
        <v>58266</v>
      </c>
      <c r="E30" s="151">
        <f t="shared" si="4"/>
        <v>1549</v>
      </c>
      <c r="F30" s="151">
        <v>934</v>
      </c>
      <c r="G30" s="152">
        <v>19.03</v>
      </c>
      <c r="H30" s="152">
        <v>9.5500000000000007</v>
      </c>
      <c r="I30" s="152">
        <f t="shared" ref="I30:J45" si="11">+G30+I29</f>
        <v>323.51</v>
      </c>
      <c r="J30" s="152">
        <f t="shared" si="11"/>
        <v>162.35000000000002</v>
      </c>
      <c r="K30" s="56">
        <f t="shared" si="2"/>
        <v>28.58</v>
      </c>
      <c r="L30" s="164">
        <f t="shared" si="6"/>
        <v>457.2799999999998</v>
      </c>
      <c r="M30" s="196"/>
      <c r="N30" s="292">
        <f t="shared" si="9"/>
        <v>28.58</v>
      </c>
      <c r="O30" s="289">
        <f t="shared" si="10"/>
        <v>447.17599999999982</v>
      </c>
      <c r="P30" s="196"/>
      <c r="Q30" s="163">
        <v>2041</v>
      </c>
      <c r="R30" s="298">
        <f t="shared" si="7"/>
        <v>28.58</v>
      </c>
    </row>
    <row r="31" spans="1:18" ht="15" customHeight="1">
      <c r="B31" s="163">
        <v>2042</v>
      </c>
      <c r="C31" s="150">
        <f t="shared" si="3"/>
        <v>2.5896514252277857E-2</v>
      </c>
      <c r="D31" s="151">
        <f t="shared" si="8"/>
        <v>59815</v>
      </c>
      <c r="E31" s="151">
        <f t="shared" si="4"/>
        <v>1549</v>
      </c>
      <c r="F31" s="151">
        <v>934</v>
      </c>
      <c r="G31" s="152">
        <v>19.03</v>
      </c>
      <c r="H31" s="152">
        <v>9.5500000000000007</v>
      </c>
      <c r="I31" s="152">
        <f t="shared" si="11"/>
        <v>342.53999999999996</v>
      </c>
      <c r="J31" s="152">
        <f t="shared" si="11"/>
        <v>171.90000000000003</v>
      </c>
      <c r="K31" s="56">
        <f t="shared" si="2"/>
        <v>28.58</v>
      </c>
      <c r="L31" s="164">
        <f t="shared" si="6"/>
        <v>485.85999999999979</v>
      </c>
      <c r="M31" s="196"/>
      <c r="N31" s="292">
        <f t="shared" si="9"/>
        <v>28.58</v>
      </c>
      <c r="O31" s="289">
        <f t="shared" si="10"/>
        <v>475.7559999999998</v>
      </c>
      <c r="P31" s="196"/>
      <c r="Q31" s="163">
        <v>2042</v>
      </c>
      <c r="R31" s="298">
        <f t="shared" si="7"/>
        <v>28.58</v>
      </c>
    </row>
    <row r="32" spans="1:18" ht="15" customHeight="1">
      <c r="B32" s="163">
        <v>2043</v>
      </c>
      <c r="C32" s="150">
        <f t="shared" si="3"/>
        <v>2.5242813375920735E-2</v>
      </c>
      <c r="D32" s="151">
        <f t="shared" si="8"/>
        <v>61364</v>
      </c>
      <c r="E32" s="151">
        <f t="shared" si="4"/>
        <v>1549</v>
      </c>
      <c r="F32" s="151">
        <v>934</v>
      </c>
      <c r="G32" s="152">
        <v>19.03</v>
      </c>
      <c r="H32" s="152">
        <v>9.5500000000000007</v>
      </c>
      <c r="I32" s="152">
        <f t="shared" si="11"/>
        <v>361.56999999999994</v>
      </c>
      <c r="J32" s="152">
        <f t="shared" si="11"/>
        <v>181.45000000000005</v>
      </c>
      <c r="K32" s="56">
        <f t="shared" si="2"/>
        <v>28.58</v>
      </c>
      <c r="L32" s="164">
        <f t="shared" si="6"/>
        <v>514.43999999999983</v>
      </c>
      <c r="M32" s="196"/>
      <c r="N32" s="292">
        <f t="shared" si="9"/>
        <v>28.58</v>
      </c>
      <c r="O32" s="289">
        <f t="shared" si="10"/>
        <v>504.33599999999979</v>
      </c>
      <c r="P32" s="196"/>
      <c r="Q32" s="163">
        <v>2043</v>
      </c>
      <c r="R32" s="298">
        <f t="shared" si="7"/>
        <v>28.58</v>
      </c>
    </row>
    <row r="33" spans="1:20" ht="15" customHeight="1">
      <c r="B33" s="163">
        <v>2044</v>
      </c>
      <c r="C33" s="150">
        <f t="shared" si="3"/>
        <v>2.4621302433519305E-2</v>
      </c>
      <c r="D33" s="151">
        <f t="shared" si="8"/>
        <v>62913</v>
      </c>
      <c r="E33" s="151">
        <f t="shared" si="4"/>
        <v>1549</v>
      </c>
      <c r="F33" s="151">
        <v>934</v>
      </c>
      <c r="G33" s="152">
        <v>19.03</v>
      </c>
      <c r="H33" s="152">
        <v>9.5500000000000007</v>
      </c>
      <c r="I33" s="152">
        <f t="shared" si="11"/>
        <v>380.59999999999991</v>
      </c>
      <c r="J33" s="152">
        <f t="shared" si="11"/>
        <v>191.00000000000006</v>
      </c>
      <c r="K33" s="56">
        <f t="shared" si="2"/>
        <v>28.58</v>
      </c>
      <c r="L33" s="164">
        <f t="shared" si="6"/>
        <v>543.01999999999987</v>
      </c>
      <c r="M33" s="196"/>
      <c r="N33" s="292">
        <f t="shared" si="9"/>
        <v>28.58</v>
      </c>
      <c r="O33" s="289">
        <f t="shared" si="10"/>
        <v>532.91599999999983</v>
      </c>
      <c r="P33" s="196"/>
      <c r="Q33" s="163">
        <v>2044</v>
      </c>
      <c r="R33" s="298">
        <f t="shared" si="7"/>
        <v>28.58</v>
      </c>
    </row>
    <row r="34" spans="1:20" ht="15" customHeight="1">
      <c r="B34" s="163">
        <v>2045</v>
      </c>
      <c r="C34" s="150">
        <f t="shared" si="3"/>
        <v>2.4029660885482921E-2</v>
      </c>
      <c r="D34" s="151">
        <f t="shared" si="8"/>
        <v>64462</v>
      </c>
      <c r="E34" s="151">
        <f t="shared" si="4"/>
        <v>1549</v>
      </c>
      <c r="F34" s="151">
        <v>934</v>
      </c>
      <c r="G34" s="152">
        <v>19.03</v>
      </c>
      <c r="H34" s="152">
        <v>9.5500000000000007</v>
      </c>
      <c r="I34" s="152">
        <f t="shared" si="11"/>
        <v>399.62999999999988</v>
      </c>
      <c r="J34" s="152">
        <f t="shared" si="11"/>
        <v>200.55000000000007</v>
      </c>
      <c r="K34" s="56">
        <f t="shared" si="2"/>
        <v>28.58</v>
      </c>
      <c r="L34" s="164">
        <f t="shared" si="6"/>
        <v>571.59999999999991</v>
      </c>
      <c r="M34" s="196"/>
      <c r="N34" s="292">
        <f t="shared" si="9"/>
        <v>28.58</v>
      </c>
      <c r="O34" s="289">
        <f t="shared" si="10"/>
        <v>561.49599999999987</v>
      </c>
      <c r="P34" s="196"/>
      <c r="Q34" s="163">
        <v>2045</v>
      </c>
      <c r="R34" s="298">
        <f t="shared" si="7"/>
        <v>28.58</v>
      </c>
    </row>
    <row r="35" spans="1:20" ht="15" customHeight="1">
      <c r="B35" s="163">
        <v>2046</v>
      </c>
      <c r="C35" s="150">
        <f t="shared" si="3"/>
        <v>2.3465786005362744E-2</v>
      </c>
      <c r="D35" s="151">
        <f t="shared" si="8"/>
        <v>66011</v>
      </c>
      <c r="E35" s="151">
        <f t="shared" si="4"/>
        <v>1549</v>
      </c>
      <c r="F35" s="151">
        <v>934</v>
      </c>
      <c r="G35" s="152">
        <v>19.03</v>
      </c>
      <c r="H35" s="152">
        <v>9.5500000000000007</v>
      </c>
      <c r="I35" s="152">
        <f t="shared" si="11"/>
        <v>418.65999999999985</v>
      </c>
      <c r="J35" s="152">
        <f t="shared" si="11"/>
        <v>210.10000000000008</v>
      </c>
      <c r="K35" s="56">
        <f t="shared" si="2"/>
        <v>28.58</v>
      </c>
      <c r="L35" s="164">
        <f t="shared" si="6"/>
        <v>600.17999999999995</v>
      </c>
      <c r="M35" s="196"/>
      <c r="N35" s="292">
        <f t="shared" si="9"/>
        <v>28.58</v>
      </c>
      <c r="O35" s="289">
        <f t="shared" si="10"/>
        <v>590.07599999999991</v>
      </c>
      <c r="P35" s="196"/>
      <c r="Q35" s="163">
        <v>2046</v>
      </c>
      <c r="R35" s="298">
        <f t="shared" si="7"/>
        <v>28.58</v>
      </c>
    </row>
    <row r="36" spans="1:20" ht="15" customHeight="1">
      <c r="A36" s="59"/>
      <c r="B36" s="163">
        <v>2047</v>
      </c>
      <c r="C36" s="150">
        <f t="shared" si="3"/>
        <v>2.292776791000592E-2</v>
      </c>
      <c r="D36" s="151">
        <f t="shared" si="8"/>
        <v>67560</v>
      </c>
      <c r="E36" s="151">
        <f t="shared" si="4"/>
        <v>1549</v>
      </c>
      <c r="F36" s="151">
        <v>934</v>
      </c>
      <c r="G36" s="152">
        <v>19.03</v>
      </c>
      <c r="H36" s="152">
        <v>9.5500000000000007</v>
      </c>
      <c r="I36" s="152">
        <f t="shared" si="11"/>
        <v>437.68999999999983</v>
      </c>
      <c r="J36" s="152">
        <f t="shared" si="11"/>
        <v>219.65000000000009</v>
      </c>
      <c r="K36" s="56">
        <f t="shared" si="2"/>
        <v>28.58</v>
      </c>
      <c r="L36" s="164">
        <f t="shared" si="6"/>
        <v>628.76</v>
      </c>
      <c r="M36" s="196"/>
      <c r="N36" s="292">
        <f t="shared" si="9"/>
        <v>28.58</v>
      </c>
      <c r="O36" s="289">
        <f t="shared" si="10"/>
        <v>618.65599999999995</v>
      </c>
      <c r="P36" s="196"/>
      <c r="Q36" s="163">
        <v>2047</v>
      </c>
      <c r="R36" s="298">
        <f t="shared" si="7"/>
        <v>28.58</v>
      </c>
    </row>
    <row r="37" spans="1:20" ht="15" customHeight="1">
      <c r="B37" s="163">
        <v>2048</v>
      </c>
      <c r="C37" s="150">
        <f t="shared" si="3"/>
        <v>2.2413867947734738E-2</v>
      </c>
      <c r="D37" s="151">
        <f t="shared" si="8"/>
        <v>69109</v>
      </c>
      <c r="E37" s="151">
        <f t="shared" si="4"/>
        <v>1549</v>
      </c>
      <c r="F37" s="151">
        <v>934</v>
      </c>
      <c r="G37" s="152">
        <v>19.03</v>
      </c>
      <c r="H37" s="152">
        <v>9.5500000000000007</v>
      </c>
      <c r="I37" s="152">
        <f t="shared" si="11"/>
        <v>456.7199999999998</v>
      </c>
      <c r="J37" s="152">
        <f t="shared" si="11"/>
        <v>229.2000000000001</v>
      </c>
      <c r="K37" s="56">
        <f t="shared" si="2"/>
        <v>28.58</v>
      </c>
      <c r="L37" s="164">
        <f t="shared" si="6"/>
        <v>657.34</v>
      </c>
      <c r="M37" s="196"/>
      <c r="N37" s="292">
        <f t="shared" si="9"/>
        <v>28.58</v>
      </c>
      <c r="O37" s="289">
        <f t="shared" si="10"/>
        <v>647.23599999999999</v>
      </c>
      <c r="P37" s="196"/>
      <c r="Q37" s="163">
        <v>2048</v>
      </c>
      <c r="R37" s="298">
        <f t="shared" si="7"/>
        <v>28.58</v>
      </c>
    </row>
    <row r="38" spans="1:20" ht="15" customHeight="1">
      <c r="B38" s="163">
        <v>2049</v>
      </c>
      <c r="C38" s="150">
        <f t="shared" si="3"/>
        <v>2.1922499929236606E-2</v>
      </c>
      <c r="D38" s="151">
        <f t="shared" si="8"/>
        <v>70658</v>
      </c>
      <c r="E38" s="151">
        <f t="shared" si="4"/>
        <v>1549</v>
      </c>
      <c r="F38" s="151">
        <v>934</v>
      </c>
      <c r="G38" s="152">
        <v>19.03</v>
      </c>
      <c r="H38" s="152">
        <v>9.5500000000000007</v>
      </c>
      <c r="I38" s="152">
        <f t="shared" si="11"/>
        <v>475.74999999999977</v>
      </c>
      <c r="J38" s="152">
        <f t="shared" si="11"/>
        <v>238.75000000000011</v>
      </c>
      <c r="K38" s="56">
        <f t="shared" si="2"/>
        <v>28.58</v>
      </c>
      <c r="L38" s="164">
        <f t="shared" si="6"/>
        <v>685.92000000000007</v>
      </c>
      <c r="M38" s="196"/>
      <c r="N38" s="292">
        <f t="shared" si="9"/>
        <v>28.58</v>
      </c>
      <c r="O38" s="289">
        <f t="shared" si="10"/>
        <v>675.81600000000003</v>
      </c>
      <c r="P38" s="196"/>
      <c r="Q38" s="163">
        <v>2049</v>
      </c>
      <c r="R38" s="298">
        <f t="shared" si="7"/>
        <v>28.58</v>
      </c>
    </row>
    <row r="39" spans="1:20" ht="15" customHeight="1">
      <c r="B39" s="307">
        <v>2050</v>
      </c>
      <c r="C39" s="153">
        <f t="shared" si="3"/>
        <v>2.1452213774287812E-2</v>
      </c>
      <c r="D39" s="154">
        <f t="shared" si="8"/>
        <v>72207</v>
      </c>
      <c r="E39" s="154">
        <f t="shared" si="4"/>
        <v>1549</v>
      </c>
      <c r="F39" s="154">
        <v>934</v>
      </c>
      <c r="G39" s="155">
        <v>19.03</v>
      </c>
      <c r="H39" s="155">
        <v>9.5500000000000007</v>
      </c>
      <c r="I39" s="155">
        <f t="shared" si="11"/>
        <v>494.77999999999975</v>
      </c>
      <c r="J39" s="155">
        <f t="shared" si="11"/>
        <v>248.30000000000013</v>
      </c>
      <c r="K39" s="156">
        <f t="shared" si="2"/>
        <v>28.58</v>
      </c>
      <c r="L39" s="308">
        <f t="shared" si="6"/>
        <v>714.50000000000011</v>
      </c>
      <c r="M39" s="196"/>
      <c r="N39" s="292">
        <f t="shared" si="9"/>
        <v>28.58</v>
      </c>
      <c r="O39" s="289">
        <f t="shared" si="10"/>
        <v>704.39600000000007</v>
      </c>
      <c r="P39" s="196"/>
      <c r="Q39" s="163">
        <v>2050</v>
      </c>
      <c r="R39" s="298">
        <f t="shared" si="7"/>
        <v>28.58</v>
      </c>
    </row>
    <row r="40" spans="1:20" ht="15" customHeight="1" thickBot="1">
      <c r="A40" s="312" t="s">
        <v>48</v>
      </c>
      <c r="B40" s="166">
        <v>2051</v>
      </c>
      <c r="C40" s="167">
        <f t="shared" si="3"/>
        <v>2.1001681219155053E-2</v>
      </c>
      <c r="D40" s="168">
        <f t="shared" si="8"/>
        <v>73756</v>
      </c>
      <c r="E40" s="168">
        <f t="shared" si="4"/>
        <v>1549</v>
      </c>
      <c r="F40" s="168">
        <v>934</v>
      </c>
      <c r="G40" s="169">
        <v>19.03</v>
      </c>
      <c r="H40" s="169">
        <v>9.5500000000000007</v>
      </c>
      <c r="I40" s="169">
        <f t="shared" si="11"/>
        <v>513.80999999999972</v>
      </c>
      <c r="J40" s="169">
        <f t="shared" si="11"/>
        <v>257.85000000000014</v>
      </c>
      <c r="K40" s="170">
        <f t="shared" si="2"/>
        <v>28.58</v>
      </c>
      <c r="L40" s="171">
        <f t="shared" si="6"/>
        <v>743.08000000000015</v>
      </c>
      <c r="M40" s="196"/>
      <c r="N40" s="314">
        <f t="shared" si="9"/>
        <v>28.58</v>
      </c>
      <c r="O40" s="315">
        <f t="shared" si="10"/>
        <v>732.97600000000011</v>
      </c>
      <c r="P40" s="196"/>
      <c r="Q40" s="301">
        <v>2051</v>
      </c>
      <c r="R40" s="299">
        <f t="shared" si="7"/>
        <v>10.104000000000042</v>
      </c>
    </row>
    <row r="41" spans="1:20" ht="15" customHeight="1">
      <c r="B41" s="172">
        <v>2052</v>
      </c>
      <c r="C41" s="173">
        <f t="shared" si="3"/>
        <v>2.0569683287962288E-2</v>
      </c>
      <c r="D41" s="174">
        <f t="shared" si="8"/>
        <v>75305</v>
      </c>
      <c r="E41" s="174">
        <f t="shared" si="4"/>
        <v>1549</v>
      </c>
      <c r="F41" s="174">
        <v>934</v>
      </c>
      <c r="G41" s="175">
        <v>19.03</v>
      </c>
      <c r="H41" s="175">
        <v>9.5500000000000007</v>
      </c>
      <c r="I41" s="175">
        <f t="shared" si="11"/>
        <v>532.83999999999969</v>
      </c>
      <c r="J41" s="175">
        <f t="shared" si="11"/>
        <v>267.40000000000015</v>
      </c>
      <c r="K41" s="176">
        <f t="shared" si="2"/>
        <v>28.58</v>
      </c>
      <c r="L41" s="176">
        <f t="shared" si="6"/>
        <v>771.6600000000002</v>
      </c>
      <c r="M41" s="196"/>
      <c r="N41" s="292">
        <f t="shared" si="9"/>
        <v>28.58</v>
      </c>
      <c r="O41" s="289">
        <f t="shared" si="10"/>
        <v>761.55600000000015</v>
      </c>
      <c r="P41" s="196"/>
      <c r="Q41" s="163">
        <v>2052</v>
      </c>
      <c r="R41" s="298">
        <f t="shared" si="7"/>
        <v>0</v>
      </c>
    </row>
    <row r="42" spans="1:20" s="54" customFormat="1" ht="15" customHeight="1">
      <c r="A42" s="13"/>
      <c r="B42" s="55">
        <v>2053</v>
      </c>
      <c r="C42" s="150">
        <f t="shared" si="3"/>
        <v>2.0155099279152679E-2</v>
      </c>
      <c r="D42" s="151">
        <f t="shared" si="8"/>
        <v>76854</v>
      </c>
      <c r="E42" s="151">
        <f t="shared" si="4"/>
        <v>1549</v>
      </c>
      <c r="F42" s="151">
        <v>934</v>
      </c>
      <c r="G42" s="152">
        <v>19.03</v>
      </c>
      <c r="H42" s="152">
        <v>9.5500000000000007</v>
      </c>
      <c r="I42" s="152">
        <f t="shared" si="11"/>
        <v>551.86999999999966</v>
      </c>
      <c r="J42" s="152">
        <f t="shared" si="11"/>
        <v>276.95000000000016</v>
      </c>
      <c r="K42" s="56">
        <f t="shared" si="2"/>
        <v>28.58</v>
      </c>
      <c r="L42" s="56">
        <f t="shared" si="6"/>
        <v>800.24000000000024</v>
      </c>
      <c r="M42" s="196"/>
      <c r="N42" s="292">
        <f t="shared" si="9"/>
        <v>28.58</v>
      </c>
      <c r="O42" s="289">
        <f t="shared" si="10"/>
        <v>790.13600000000019</v>
      </c>
      <c r="P42" s="196"/>
      <c r="Q42" s="163">
        <v>2053</v>
      </c>
      <c r="R42" s="298">
        <f t="shared" si="7"/>
        <v>0</v>
      </c>
      <c r="S42" s="13"/>
      <c r="T42" s="13"/>
    </row>
    <row r="43" spans="1:20" s="54" customFormat="1" ht="15" customHeight="1">
      <c r="A43" s="13"/>
      <c r="B43" s="55">
        <v>2054</v>
      </c>
      <c r="C43" s="150">
        <f t="shared" si="3"/>
        <v>1.9756897057510554E-2</v>
      </c>
      <c r="D43" s="151">
        <f t="shared" si="8"/>
        <v>78403</v>
      </c>
      <c r="E43" s="151">
        <f t="shared" si="4"/>
        <v>1549</v>
      </c>
      <c r="F43" s="151">
        <v>934</v>
      </c>
      <c r="G43" s="152">
        <v>19.03</v>
      </c>
      <c r="H43" s="152">
        <v>9.5500000000000007</v>
      </c>
      <c r="I43" s="152">
        <f t="shared" si="11"/>
        <v>570.89999999999964</v>
      </c>
      <c r="J43" s="152">
        <f t="shared" si="11"/>
        <v>286.50000000000017</v>
      </c>
      <c r="K43" s="56">
        <f t="shared" si="2"/>
        <v>28.58</v>
      </c>
      <c r="L43" s="56">
        <f t="shared" si="6"/>
        <v>828.82000000000028</v>
      </c>
      <c r="M43" s="196"/>
      <c r="N43" s="292">
        <f t="shared" si="9"/>
        <v>28.58</v>
      </c>
      <c r="O43" s="289">
        <f t="shared" si="10"/>
        <v>818.71600000000024</v>
      </c>
      <c r="P43" s="196"/>
      <c r="Q43" s="163">
        <v>2054</v>
      </c>
      <c r="R43" s="298">
        <f t="shared" si="7"/>
        <v>0</v>
      </c>
      <c r="S43" s="13"/>
      <c r="T43" s="13"/>
    </row>
    <row r="44" spans="1:20" s="54" customFormat="1" ht="15" customHeight="1">
      <c r="A44" s="13"/>
      <c r="B44" s="55">
        <v>2055</v>
      </c>
      <c r="C44" s="150">
        <f t="shared" si="3"/>
        <v>1.9374124474684812E-2</v>
      </c>
      <c r="D44" s="151">
        <f t="shared" si="8"/>
        <v>79952</v>
      </c>
      <c r="E44" s="151">
        <f t="shared" si="4"/>
        <v>1549</v>
      </c>
      <c r="F44" s="151">
        <v>934</v>
      </c>
      <c r="G44" s="152">
        <v>19.03</v>
      </c>
      <c r="H44" s="152">
        <v>9.5500000000000007</v>
      </c>
      <c r="I44" s="152">
        <f t="shared" si="11"/>
        <v>589.92999999999961</v>
      </c>
      <c r="J44" s="152">
        <f t="shared" si="11"/>
        <v>296.05000000000018</v>
      </c>
      <c r="K44" s="56">
        <f t="shared" si="2"/>
        <v>28.58</v>
      </c>
      <c r="L44" s="56">
        <f t="shared" si="6"/>
        <v>857.40000000000032</v>
      </c>
      <c r="M44" s="196"/>
      <c r="N44" s="292">
        <f t="shared" si="9"/>
        <v>28.58</v>
      </c>
      <c r="O44" s="289">
        <f t="shared" si="10"/>
        <v>847.29600000000028</v>
      </c>
      <c r="P44" s="196"/>
      <c r="Q44" s="163">
        <v>2055</v>
      </c>
      <c r="R44" s="298">
        <f t="shared" si="7"/>
        <v>0</v>
      </c>
      <c r="S44" s="13"/>
      <c r="T44" s="13"/>
    </row>
    <row r="45" spans="1:20" s="54" customFormat="1" ht="15" customHeight="1">
      <c r="A45" s="13"/>
      <c r="B45" s="55">
        <v>2056</v>
      </c>
      <c r="C45" s="150">
        <f t="shared" si="3"/>
        <v>1.9005901768076466E-2</v>
      </c>
      <c r="D45" s="151">
        <f t="shared" si="8"/>
        <v>81501</v>
      </c>
      <c r="E45" s="151">
        <f t="shared" si="4"/>
        <v>1549</v>
      </c>
      <c r="F45" s="151">
        <v>934</v>
      </c>
      <c r="G45" s="152">
        <v>19.03</v>
      </c>
      <c r="H45" s="152">
        <v>9.5500000000000007</v>
      </c>
      <c r="I45" s="152">
        <f t="shared" si="11"/>
        <v>608.95999999999958</v>
      </c>
      <c r="J45" s="152">
        <f t="shared" si="11"/>
        <v>305.60000000000019</v>
      </c>
      <c r="K45" s="56">
        <f t="shared" si="2"/>
        <v>28.58</v>
      </c>
      <c r="L45" s="56">
        <f t="shared" si="6"/>
        <v>885.98000000000036</v>
      </c>
      <c r="M45" s="196"/>
      <c r="N45" s="292">
        <f t="shared" si="9"/>
        <v>28.58</v>
      </c>
      <c r="O45" s="289">
        <f t="shared" si="10"/>
        <v>875.87600000000032</v>
      </c>
      <c r="P45" s="196"/>
      <c r="Q45" s="163">
        <v>2056</v>
      </c>
      <c r="R45" s="298">
        <f t="shared" si="7"/>
        <v>0</v>
      </c>
      <c r="S45" s="13"/>
      <c r="T45" s="13"/>
    </row>
    <row r="46" spans="1:20" s="54" customFormat="1" ht="15" customHeight="1">
      <c r="A46" s="13"/>
      <c r="B46" s="55">
        <v>2057</v>
      </c>
      <c r="C46" s="150">
        <f t="shared" si="3"/>
        <v>1.8651414810355208E-2</v>
      </c>
      <c r="D46" s="151">
        <f t="shared" si="8"/>
        <v>83050</v>
      </c>
      <c r="E46" s="151">
        <f t="shared" si="4"/>
        <v>1549</v>
      </c>
      <c r="F46" s="151">
        <v>934</v>
      </c>
      <c r="G46" s="152">
        <v>19.03</v>
      </c>
      <c r="H46" s="152">
        <v>9.5500000000000007</v>
      </c>
      <c r="I46" s="152">
        <f t="shared" ref="I46:J61" si="12">+G46+I45</f>
        <v>627.98999999999955</v>
      </c>
      <c r="J46" s="152">
        <f t="shared" si="12"/>
        <v>315.1500000000002</v>
      </c>
      <c r="K46" s="56">
        <f t="shared" si="2"/>
        <v>28.58</v>
      </c>
      <c r="L46" s="56">
        <f t="shared" si="6"/>
        <v>914.5600000000004</v>
      </c>
      <c r="M46" s="196"/>
      <c r="N46" s="292">
        <f t="shared" si="9"/>
        <v>28.58</v>
      </c>
      <c r="O46" s="289">
        <f t="shared" si="10"/>
        <v>904.45600000000036</v>
      </c>
      <c r="P46" s="196"/>
      <c r="Q46" s="163">
        <v>2057</v>
      </c>
      <c r="R46" s="298">
        <f t="shared" si="7"/>
        <v>0</v>
      </c>
      <c r="S46" s="13"/>
      <c r="T46" s="13"/>
    </row>
    <row r="47" spans="1:20" s="54" customFormat="1" ht="15" customHeight="1">
      <c r="A47" s="13"/>
      <c r="B47" s="55">
        <v>2058</v>
      </c>
      <c r="C47" s="150">
        <f t="shared" si="3"/>
        <v>1.8309909100580384E-2</v>
      </c>
      <c r="D47" s="151">
        <f t="shared" si="8"/>
        <v>84599</v>
      </c>
      <c r="E47" s="151">
        <f t="shared" si="4"/>
        <v>1549</v>
      </c>
      <c r="F47" s="151">
        <v>934</v>
      </c>
      <c r="G47" s="152">
        <v>19.03</v>
      </c>
      <c r="H47" s="152">
        <v>9.5500000000000007</v>
      </c>
      <c r="I47" s="152">
        <f t="shared" si="12"/>
        <v>647.01999999999953</v>
      </c>
      <c r="J47" s="152">
        <f t="shared" si="12"/>
        <v>324.70000000000022</v>
      </c>
      <c r="K47" s="56">
        <f t="shared" si="2"/>
        <v>28.58</v>
      </c>
      <c r="L47" s="56">
        <f t="shared" si="6"/>
        <v>943.14000000000044</v>
      </c>
      <c r="M47" s="196"/>
      <c r="N47" s="292">
        <f t="shared" si="9"/>
        <v>28.58</v>
      </c>
      <c r="O47" s="289">
        <f t="shared" si="10"/>
        <v>933.0360000000004</v>
      </c>
      <c r="P47" s="196"/>
      <c r="Q47" s="163">
        <v>2058</v>
      </c>
      <c r="R47" s="298">
        <f t="shared" si="7"/>
        <v>0</v>
      </c>
      <c r="S47" s="13"/>
      <c r="T47" s="13"/>
    </row>
    <row r="48" spans="1:20" s="54" customFormat="1" ht="15" customHeight="1">
      <c r="A48" s="13"/>
      <c r="B48" s="55">
        <v>2059</v>
      </c>
      <c r="C48" s="150">
        <f t="shared" si="3"/>
        <v>1.7980684403584531E-2</v>
      </c>
      <c r="D48" s="151">
        <f t="shared" si="8"/>
        <v>86148</v>
      </c>
      <c r="E48" s="151">
        <f t="shared" si="4"/>
        <v>1549</v>
      </c>
      <c r="F48" s="151">
        <v>934</v>
      </c>
      <c r="G48" s="152">
        <v>19.03</v>
      </c>
      <c r="H48" s="152">
        <v>9.5500000000000007</v>
      </c>
      <c r="I48" s="152">
        <f t="shared" si="12"/>
        <v>666.0499999999995</v>
      </c>
      <c r="J48" s="152">
        <f t="shared" si="12"/>
        <v>334.25000000000023</v>
      </c>
      <c r="K48" s="56">
        <f t="shared" si="2"/>
        <v>28.58</v>
      </c>
      <c r="L48" s="56">
        <f t="shared" si="6"/>
        <v>971.72000000000048</v>
      </c>
      <c r="M48" s="196"/>
      <c r="N48" s="292">
        <f t="shared" si="9"/>
        <v>28.58</v>
      </c>
      <c r="O48" s="289">
        <f t="shared" si="10"/>
        <v>961.61600000000044</v>
      </c>
      <c r="P48" s="196"/>
      <c r="Q48" s="163">
        <v>2059</v>
      </c>
      <c r="R48" s="298">
        <f t="shared" si="7"/>
        <v>0</v>
      </c>
      <c r="S48" s="13"/>
      <c r="T48" s="13"/>
    </row>
    <row r="49" spans="1:20" s="54" customFormat="1" ht="15" customHeight="1">
      <c r="A49" s="13"/>
      <c r="B49" s="55">
        <v>2060</v>
      </c>
      <c r="C49" s="150">
        <f t="shared" si="3"/>
        <v>1.7663089957467189E-2</v>
      </c>
      <c r="D49" s="151">
        <f t="shared" si="8"/>
        <v>87697</v>
      </c>
      <c r="E49" s="151">
        <f t="shared" si="4"/>
        <v>1549</v>
      </c>
      <c r="F49" s="151">
        <v>934</v>
      </c>
      <c r="G49" s="152">
        <v>19.03</v>
      </c>
      <c r="H49" s="152">
        <v>9.5500000000000007</v>
      </c>
      <c r="I49" s="152">
        <f t="shared" si="12"/>
        <v>685.07999999999947</v>
      </c>
      <c r="J49" s="152">
        <f t="shared" si="12"/>
        <v>343.80000000000024</v>
      </c>
      <c r="K49" s="56">
        <f t="shared" si="2"/>
        <v>28.58</v>
      </c>
      <c r="L49" s="56">
        <f t="shared" si="6"/>
        <v>1000.3000000000005</v>
      </c>
      <c r="M49" s="196"/>
      <c r="N49" s="292">
        <f t="shared" si="9"/>
        <v>28.58</v>
      </c>
      <c r="O49" s="289">
        <f t="shared" si="10"/>
        <v>990.19600000000048</v>
      </c>
      <c r="P49" s="196"/>
      <c r="Q49" s="163">
        <v>2060</v>
      </c>
      <c r="R49" s="298">
        <f t="shared" si="7"/>
        <v>0</v>
      </c>
      <c r="S49" s="13"/>
      <c r="T49" s="13"/>
    </row>
    <row r="50" spans="1:20" s="54" customFormat="1" ht="15" customHeight="1">
      <c r="A50" s="13"/>
      <c r="B50" s="55">
        <v>2061</v>
      </c>
      <c r="C50" s="150">
        <f t="shared" si="3"/>
        <v>1.7356520180176142E-2</v>
      </c>
      <c r="D50" s="151">
        <f t="shared" si="8"/>
        <v>89246</v>
      </c>
      <c r="E50" s="151">
        <f t="shared" si="4"/>
        <v>1549</v>
      </c>
      <c r="F50" s="151">
        <v>934</v>
      </c>
      <c r="G50" s="152">
        <v>19.03</v>
      </c>
      <c r="H50" s="152">
        <v>9.5500000000000007</v>
      </c>
      <c r="I50" s="152">
        <f t="shared" si="12"/>
        <v>704.10999999999945</v>
      </c>
      <c r="J50" s="152">
        <f t="shared" si="12"/>
        <v>353.35000000000025</v>
      </c>
      <c r="K50" s="56">
        <f t="shared" si="2"/>
        <v>28.58</v>
      </c>
      <c r="L50" s="56">
        <f t="shared" si="6"/>
        <v>1028.8800000000006</v>
      </c>
      <c r="M50" s="196"/>
      <c r="N50" s="292">
        <f t="shared" si="9"/>
        <v>28.58</v>
      </c>
      <c r="O50" s="289">
        <f t="shared" si="10"/>
        <v>1018.7760000000005</v>
      </c>
      <c r="P50" s="196"/>
      <c r="Q50" s="163">
        <v>2061</v>
      </c>
      <c r="R50" s="298">
        <f t="shared" si="7"/>
        <v>0</v>
      </c>
      <c r="S50" s="13"/>
      <c r="T50" s="13"/>
    </row>
    <row r="51" spans="1:20" s="54" customFormat="1" ht="15" customHeight="1">
      <c r="A51" s="13"/>
      <c r="B51" s="55">
        <v>2062</v>
      </c>
      <c r="C51" s="150">
        <f t="shared" si="3"/>
        <v>1.7060410815573544E-2</v>
      </c>
      <c r="D51" s="151">
        <f t="shared" si="8"/>
        <v>90795</v>
      </c>
      <c r="E51" s="151">
        <f t="shared" si="4"/>
        <v>1549</v>
      </c>
      <c r="F51" s="151">
        <v>934</v>
      </c>
      <c r="G51" s="152">
        <v>19.03</v>
      </c>
      <c r="H51" s="152">
        <v>9.5500000000000007</v>
      </c>
      <c r="I51" s="152">
        <f t="shared" si="12"/>
        <v>723.13999999999942</v>
      </c>
      <c r="J51" s="152">
        <f t="shared" si="12"/>
        <v>362.90000000000026</v>
      </c>
      <c r="K51" s="56">
        <f t="shared" si="2"/>
        <v>28.58</v>
      </c>
      <c r="L51" s="56">
        <f t="shared" si="6"/>
        <v>1057.4600000000005</v>
      </c>
      <c r="M51" s="196"/>
      <c r="N51" s="292">
        <f t="shared" si="9"/>
        <v>28.58</v>
      </c>
      <c r="O51" s="289">
        <f t="shared" si="10"/>
        <v>1047.3560000000004</v>
      </c>
      <c r="P51" s="196"/>
      <c r="Q51" s="163">
        <v>2062</v>
      </c>
      <c r="R51" s="298">
        <f t="shared" si="7"/>
        <v>0</v>
      </c>
      <c r="S51" s="13"/>
      <c r="T51" s="13"/>
    </row>
    <row r="52" spans="1:20" s="54" customFormat="1" ht="15" customHeight="1">
      <c r="A52" s="13"/>
      <c r="B52" s="55">
        <v>2063</v>
      </c>
      <c r="C52" s="150">
        <f t="shared" si="3"/>
        <v>1.6774235467382829E-2</v>
      </c>
      <c r="D52" s="151">
        <f t="shared" si="8"/>
        <v>92344</v>
      </c>
      <c r="E52" s="151">
        <f t="shared" si="4"/>
        <v>1549</v>
      </c>
      <c r="F52" s="151">
        <v>934</v>
      </c>
      <c r="G52" s="152">
        <v>19.03</v>
      </c>
      <c r="H52" s="152">
        <v>9.5500000000000007</v>
      </c>
      <c r="I52" s="152">
        <f t="shared" si="12"/>
        <v>742.16999999999939</v>
      </c>
      <c r="J52" s="152">
        <f t="shared" si="12"/>
        <v>372.45000000000027</v>
      </c>
      <c r="K52" s="56">
        <f t="shared" si="2"/>
        <v>28.58</v>
      </c>
      <c r="L52" s="56">
        <f t="shared" si="6"/>
        <v>1086.0400000000004</v>
      </c>
      <c r="M52" s="196"/>
      <c r="N52" s="292">
        <f t="shared" si="9"/>
        <v>28.58</v>
      </c>
      <c r="O52" s="289">
        <f t="shared" si="10"/>
        <v>1075.9360000000004</v>
      </c>
      <c r="P52" s="196"/>
      <c r="Q52" s="163">
        <v>2063</v>
      </c>
      <c r="R52" s="298">
        <f t="shared" si="7"/>
        <v>0</v>
      </c>
      <c r="S52" s="13"/>
      <c r="T52" s="13"/>
    </row>
    <row r="53" spans="1:20" s="54" customFormat="1" ht="15" customHeight="1">
      <c r="A53" s="13"/>
      <c r="B53" s="55">
        <v>2064</v>
      </c>
      <c r="C53" s="150">
        <f t="shared" si="3"/>
        <v>1.6497502476222933E-2</v>
      </c>
      <c r="D53" s="151">
        <f t="shared" si="8"/>
        <v>93893</v>
      </c>
      <c r="E53" s="151">
        <f t="shared" si="4"/>
        <v>1549</v>
      </c>
      <c r="F53" s="151">
        <v>934</v>
      </c>
      <c r="G53" s="152">
        <v>19.03</v>
      </c>
      <c r="H53" s="152">
        <v>9.5500000000000007</v>
      </c>
      <c r="I53" s="152">
        <f t="shared" si="12"/>
        <v>761.19999999999936</v>
      </c>
      <c r="J53" s="152">
        <f t="shared" si="12"/>
        <v>382.00000000000028</v>
      </c>
      <c r="K53" s="56">
        <f t="shared" si="2"/>
        <v>28.58</v>
      </c>
      <c r="L53" s="56">
        <f t="shared" si="6"/>
        <v>1114.6200000000003</v>
      </c>
      <c r="M53" s="196"/>
      <c r="N53" s="292">
        <f t="shared" si="9"/>
        <v>28.58</v>
      </c>
      <c r="O53" s="289">
        <f t="shared" si="10"/>
        <v>1104.5160000000003</v>
      </c>
      <c r="P53" s="196"/>
      <c r="Q53" s="163">
        <v>2064</v>
      </c>
      <c r="R53" s="298">
        <f t="shared" si="7"/>
        <v>0</v>
      </c>
      <c r="S53" s="13"/>
      <c r="T53" s="13"/>
    </row>
    <row r="54" spans="1:20" s="54" customFormat="1" ht="15" customHeight="1">
      <c r="A54" s="13"/>
      <c r="B54" s="55">
        <v>2065</v>
      </c>
      <c r="C54" s="150">
        <f t="shared" si="3"/>
        <v>1.6229752100752289E-2</v>
      </c>
      <c r="D54" s="151">
        <f t="shared" si="8"/>
        <v>95442</v>
      </c>
      <c r="E54" s="151">
        <f t="shared" si="4"/>
        <v>1549</v>
      </c>
      <c r="F54" s="151">
        <v>934</v>
      </c>
      <c r="G54" s="152">
        <v>19.03</v>
      </c>
      <c r="H54" s="152">
        <v>9.5500000000000007</v>
      </c>
      <c r="I54" s="152">
        <f t="shared" si="12"/>
        <v>780.22999999999934</v>
      </c>
      <c r="J54" s="152">
        <f t="shared" si="12"/>
        <v>391.5500000000003</v>
      </c>
      <c r="K54" s="56">
        <f t="shared" si="2"/>
        <v>28.58</v>
      </c>
      <c r="L54" s="56">
        <f t="shared" si="6"/>
        <v>1143.2000000000003</v>
      </c>
      <c r="M54" s="196"/>
      <c r="N54" s="292">
        <f t="shared" si="9"/>
        <v>28.58</v>
      </c>
      <c r="O54" s="289">
        <f t="shared" si="10"/>
        <v>1133.0960000000002</v>
      </c>
      <c r="P54" s="196"/>
      <c r="Q54" s="163">
        <v>2065</v>
      </c>
      <c r="R54" s="298">
        <f t="shared" si="7"/>
        <v>0</v>
      </c>
      <c r="S54" s="13"/>
      <c r="T54" s="13"/>
    </row>
    <row r="55" spans="1:20" s="54" customFormat="1" ht="15" customHeight="1">
      <c r="A55" s="13"/>
      <c r="B55" s="55">
        <v>2066</v>
      </c>
      <c r="C55" s="150">
        <f t="shared" si="3"/>
        <v>1.5970553968924953E-2</v>
      </c>
      <c r="D55" s="151">
        <f t="shared" si="8"/>
        <v>96991</v>
      </c>
      <c r="E55" s="151">
        <f t="shared" si="4"/>
        <v>1549</v>
      </c>
      <c r="F55" s="151">
        <v>934</v>
      </c>
      <c r="G55" s="152">
        <v>19.03</v>
      </c>
      <c r="H55" s="152">
        <v>9.5500000000000007</v>
      </c>
      <c r="I55" s="152">
        <f t="shared" si="12"/>
        <v>799.25999999999931</v>
      </c>
      <c r="J55" s="152">
        <f t="shared" si="12"/>
        <v>401.10000000000031</v>
      </c>
      <c r="K55" s="56">
        <f t="shared" si="2"/>
        <v>28.58</v>
      </c>
      <c r="L55" s="56">
        <f t="shared" si="6"/>
        <v>1171.7800000000002</v>
      </c>
      <c r="M55" s="196"/>
      <c r="N55" s="292">
        <f t="shared" si="9"/>
        <v>28.58</v>
      </c>
      <c r="O55" s="289">
        <f t="shared" si="10"/>
        <v>1161.6760000000002</v>
      </c>
      <c r="P55" s="196"/>
      <c r="Q55" s="163">
        <v>2066</v>
      </c>
      <c r="R55" s="298">
        <f t="shared" si="7"/>
        <v>0</v>
      </c>
      <c r="S55" s="13"/>
      <c r="T55" s="13"/>
    </row>
    <row r="56" spans="1:20" s="54" customFormat="1" ht="15" customHeight="1">
      <c r="A56" s="13"/>
      <c r="B56" s="55">
        <v>2067</v>
      </c>
      <c r="C56" s="150">
        <f t="shared" si="3"/>
        <v>1.5719504769636697E-2</v>
      </c>
      <c r="D56" s="151">
        <f t="shared" si="8"/>
        <v>98540</v>
      </c>
      <c r="E56" s="151">
        <f t="shared" si="4"/>
        <v>1549</v>
      </c>
      <c r="F56" s="151">
        <v>934</v>
      </c>
      <c r="G56" s="152">
        <v>19.03</v>
      </c>
      <c r="H56" s="152">
        <v>9.5500000000000007</v>
      </c>
      <c r="I56" s="152">
        <f t="shared" si="12"/>
        <v>818.28999999999928</v>
      </c>
      <c r="J56" s="152">
        <f t="shared" si="12"/>
        <v>410.65000000000032</v>
      </c>
      <c r="K56" s="56">
        <f t="shared" si="2"/>
        <v>28.58</v>
      </c>
      <c r="L56" s="56">
        <f t="shared" si="6"/>
        <v>1200.3600000000001</v>
      </c>
      <c r="M56" s="196"/>
      <c r="N56" s="292">
        <f t="shared" si="9"/>
        <v>28.58</v>
      </c>
      <c r="O56" s="289">
        <f t="shared" si="10"/>
        <v>1190.2560000000001</v>
      </c>
      <c r="P56" s="196"/>
      <c r="Q56" s="163">
        <v>2067</v>
      </c>
      <c r="R56" s="298">
        <f t="shared" si="7"/>
        <v>0</v>
      </c>
      <c r="S56" s="13"/>
      <c r="T56" s="13"/>
    </row>
    <row r="57" spans="1:20" s="54" customFormat="1" ht="15" customHeight="1">
      <c r="A57" s="13"/>
      <c r="B57" s="55">
        <v>2068</v>
      </c>
      <c r="C57" s="150">
        <f t="shared" si="3"/>
        <v>1.547622615871874E-2</v>
      </c>
      <c r="D57" s="151">
        <f t="shared" si="8"/>
        <v>100089</v>
      </c>
      <c r="E57" s="151">
        <f t="shared" si="4"/>
        <v>1549</v>
      </c>
      <c r="F57" s="151">
        <v>934</v>
      </c>
      <c r="G57" s="152">
        <v>19.03</v>
      </c>
      <c r="H57" s="152">
        <v>9.5500000000000007</v>
      </c>
      <c r="I57" s="152">
        <f t="shared" si="12"/>
        <v>837.31999999999925</v>
      </c>
      <c r="J57" s="152">
        <f t="shared" si="12"/>
        <v>420.20000000000033</v>
      </c>
      <c r="K57" s="56">
        <f t="shared" si="2"/>
        <v>28.58</v>
      </c>
      <c r="L57" s="56">
        <f t="shared" si="6"/>
        <v>1228.94</v>
      </c>
      <c r="M57" s="196"/>
      <c r="N57" s="292">
        <f t="shared" si="9"/>
        <v>28.58</v>
      </c>
      <c r="O57" s="289">
        <f t="shared" si="10"/>
        <v>1218.836</v>
      </c>
      <c r="P57" s="196"/>
      <c r="Q57" s="163">
        <v>2068</v>
      </c>
      <c r="R57" s="298">
        <f t="shared" si="7"/>
        <v>0</v>
      </c>
      <c r="S57" s="13"/>
      <c r="T57" s="13"/>
    </row>
    <row r="58" spans="1:20" ht="15" customHeight="1">
      <c r="B58" s="55">
        <v>2069</v>
      </c>
      <c r="C58" s="150">
        <f t="shared" si="3"/>
        <v>1.5240362856411971E-2</v>
      </c>
      <c r="D58" s="151">
        <f t="shared" si="8"/>
        <v>101638</v>
      </c>
      <c r="E58" s="151">
        <f t="shared" si="4"/>
        <v>1549</v>
      </c>
      <c r="F58" s="151">
        <v>934</v>
      </c>
      <c r="G58" s="152">
        <v>19.03</v>
      </c>
      <c r="H58" s="152">
        <v>9.5500000000000007</v>
      </c>
      <c r="I58" s="152">
        <f t="shared" si="12"/>
        <v>856.34999999999923</v>
      </c>
      <c r="J58" s="152">
        <f t="shared" si="12"/>
        <v>429.75000000000034</v>
      </c>
      <c r="K58" s="56">
        <f t="shared" si="2"/>
        <v>28.58</v>
      </c>
      <c r="L58" s="56">
        <f t="shared" si="6"/>
        <v>1257.52</v>
      </c>
      <c r="M58" s="196"/>
      <c r="N58" s="292">
        <f t="shared" si="9"/>
        <v>28.58</v>
      </c>
      <c r="O58" s="289">
        <f t="shared" si="10"/>
        <v>1247.4159999999999</v>
      </c>
      <c r="P58" s="196"/>
      <c r="Q58" s="163">
        <v>2069</v>
      </c>
      <c r="R58" s="298">
        <f t="shared" si="7"/>
        <v>0</v>
      </c>
    </row>
    <row r="59" spans="1:20" ht="15" customHeight="1">
      <c r="B59" s="55">
        <v>2070</v>
      </c>
      <c r="C59" s="150">
        <f t="shared" si="3"/>
        <v>1.5011580916200685E-2</v>
      </c>
      <c r="D59" s="151">
        <f t="shared" si="8"/>
        <v>103187</v>
      </c>
      <c r="E59" s="151">
        <f t="shared" si="4"/>
        <v>1549</v>
      </c>
      <c r="F59" s="151">
        <v>934</v>
      </c>
      <c r="G59" s="152">
        <v>19.03</v>
      </c>
      <c r="H59" s="152">
        <v>9.5500000000000007</v>
      </c>
      <c r="I59" s="152">
        <f t="shared" si="12"/>
        <v>875.3799999999992</v>
      </c>
      <c r="J59" s="152">
        <f t="shared" si="12"/>
        <v>439.30000000000035</v>
      </c>
      <c r="K59" s="56">
        <f t="shared" si="2"/>
        <v>28.58</v>
      </c>
      <c r="L59" s="56">
        <f t="shared" si="6"/>
        <v>1286.0999999999999</v>
      </c>
      <c r="M59" s="196"/>
      <c r="N59" s="292">
        <f t="shared" si="9"/>
        <v>28.58</v>
      </c>
      <c r="O59" s="289">
        <f t="shared" si="10"/>
        <v>1275.9959999999999</v>
      </c>
      <c r="P59" s="196"/>
      <c r="Q59" s="163">
        <v>2070</v>
      </c>
      <c r="R59" s="298">
        <f t="shared" si="7"/>
        <v>0</v>
      </c>
    </row>
    <row r="60" spans="1:20" ht="15" customHeight="1">
      <c r="B60" s="55">
        <v>2071</v>
      </c>
      <c r="C60" s="150">
        <f t="shared" si="3"/>
        <v>1.4789566147265506E-2</v>
      </c>
      <c r="D60" s="151">
        <f t="shared" si="8"/>
        <v>104736</v>
      </c>
      <c r="E60" s="151">
        <f t="shared" si="4"/>
        <v>1549</v>
      </c>
      <c r="F60" s="151">
        <v>934</v>
      </c>
      <c r="G60" s="152">
        <v>19.03</v>
      </c>
      <c r="H60" s="152">
        <v>9.5500000000000007</v>
      </c>
      <c r="I60" s="152">
        <f t="shared" si="12"/>
        <v>894.40999999999917</v>
      </c>
      <c r="J60" s="152">
        <f t="shared" si="12"/>
        <v>448.85000000000036</v>
      </c>
      <c r="K60" s="56">
        <f t="shared" si="2"/>
        <v>28.58</v>
      </c>
      <c r="L60" s="56">
        <f t="shared" si="6"/>
        <v>1314.6799999999998</v>
      </c>
      <c r="M60" s="196"/>
      <c r="N60" s="292">
        <f t="shared" si="9"/>
        <v>28.58</v>
      </c>
      <c r="O60" s="289">
        <f t="shared" si="10"/>
        <v>1304.5759999999998</v>
      </c>
      <c r="P60" s="196"/>
      <c r="Q60" s="163">
        <v>2071</v>
      </c>
      <c r="R60" s="298">
        <f t="shared" si="7"/>
        <v>0</v>
      </c>
    </row>
    <row r="61" spans="1:20" ht="15" customHeight="1">
      <c r="B61" s="55">
        <v>2072</v>
      </c>
      <c r="C61" s="150">
        <f t="shared" si="3"/>
        <v>1.4574022674883568E-2</v>
      </c>
      <c r="D61" s="151">
        <f t="shared" si="8"/>
        <v>106285</v>
      </c>
      <c r="E61" s="151">
        <f t="shared" si="4"/>
        <v>1549</v>
      </c>
      <c r="F61" s="151">
        <v>934</v>
      </c>
      <c r="G61" s="152">
        <v>19.03</v>
      </c>
      <c r="H61" s="152">
        <v>9.5500000000000007</v>
      </c>
      <c r="I61" s="152">
        <f t="shared" si="12"/>
        <v>913.43999999999915</v>
      </c>
      <c r="J61" s="152">
        <f t="shared" si="12"/>
        <v>458.40000000000038</v>
      </c>
      <c r="K61" s="56">
        <f t="shared" si="2"/>
        <v>28.58</v>
      </c>
      <c r="L61" s="56">
        <f t="shared" si="6"/>
        <v>1343.2599999999998</v>
      </c>
      <c r="M61" s="196"/>
      <c r="N61" s="292">
        <f t="shared" si="9"/>
        <v>28.58</v>
      </c>
      <c r="O61" s="289">
        <f t="shared" si="10"/>
        <v>1333.1559999999997</v>
      </c>
      <c r="P61" s="196"/>
      <c r="Q61" s="163">
        <v>2072</v>
      </c>
      <c r="R61" s="298">
        <f t="shared" si="7"/>
        <v>0</v>
      </c>
    </row>
    <row r="62" spans="1:20" ht="15" customHeight="1">
      <c r="B62" s="55">
        <v>2073</v>
      </c>
      <c r="C62" s="150">
        <f t="shared" si="3"/>
        <v>1.4364671624904946E-2</v>
      </c>
      <c r="D62" s="151">
        <f t="shared" si="8"/>
        <v>107834</v>
      </c>
      <c r="E62" s="151">
        <f t="shared" si="4"/>
        <v>1549</v>
      </c>
      <c r="F62" s="151">
        <v>934</v>
      </c>
      <c r="G62" s="152">
        <v>19.03</v>
      </c>
      <c r="H62" s="152">
        <v>9.5500000000000007</v>
      </c>
      <c r="I62" s="152">
        <f t="shared" ref="I62:J77" si="13">+G62+I61</f>
        <v>932.46999999999912</v>
      </c>
      <c r="J62" s="152">
        <f t="shared" si="13"/>
        <v>467.95000000000039</v>
      </c>
      <c r="K62" s="56">
        <f t="shared" si="2"/>
        <v>28.58</v>
      </c>
      <c r="L62" s="56">
        <f t="shared" si="6"/>
        <v>1371.8399999999997</v>
      </c>
      <c r="M62" s="196"/>
      <c r="N62" s="292">
        <f t="shared" si="9"/>
        <v>28.58</v>
      </c>
      <c r="O62" s="289">
        <f t="shared" si="10"/>
        <v>1361.7359999999996</v>
      </c>
      <c r="P62" s="196"/>
      <c r="Q62" s="163">
        <v>2073</v>
      </c>
      <c r="R62" s="298">
        <f t="shared" si="7"/>
        <v>0</v>
      </c>
    </row>
    <row r="63" spans="1:20" ht="15" customHeight="1">
      <c r="B63" s="55">
        <v>2074</v>
      </c>
      <c r="C63" s="150">
        <f t="shared" si="3"/>
        <v>1.4161249920005852E-2</v>
      </c>
      <c r="D63" s="151">
        <f t="shared" si="8"/>
        <v>109383</v>
      </c>
      <c r="E63" s="151">
        <f t="shared" si="4"/>
        <v>1549</v>
      </c>
      <c r="F63" s="151">
        <v>934</v>
      </c>
      <c r="G63" s="152">
        <v>19.03</v>
      </c>
      <c r="H63" s="152">
        <v>9.5500000000000007</v>
      </c>
      <c r="I63" s="152">
        <f t="shared" si="13"/>
        <v>951.49999999999909</v>
      </c>
      <c r="J63" s="152">
        <f t="shared" si="13"/>
        <v>477.5000000000004</v>
      </c>
      <c r="K63" s="56">
        <f t="shared" si="2"/>
        <v>28.58</v>
      </c>
      <c r="L63" s="56">
        <f t="shared" si="6"/>
        <v>1400.4199999999996</v>
      </c>
      <c r="M63" s="196"/>
      <c r="N63" s="292">
        <f t="shared" si="9"/>
        <v>28.58</v>
      </c>
      <c r="O63" s="289">
        <f t="shared" si="10"/>
        <v>1390.3159999999996</v>
      </c>
      <c r="P63" s="196"/>
      <c r="Q63" s="163">
        <v>2074</v>
      </c>
      <c r="R63" s="298">
        <f t="shared" si="7"/>
        <v>0</v>
      </c>
    </row>
    <row r="64" spans="1:20" ht="15" customHeight="1">
      <c r="B64" s="55">
        <v>2075</v>
      </c>
      <c r="C64" s="150">
        <f t="shared" si="3"/>
        <v>1.3963509176792991E-2</v>
      </c>
      <c r="D64" s="151">
        <f t="shared" si="8"/>
        <v>110932</v>
      </c>
      <c r="E64" s="151">
        <f t="shared" si="4"/>
        <v>1549</v>
      </c>
      <c r="F64" s="151">
        <v>934</v>
      </c>
      <c r="G64" s="152">
        <v>19.03</v>
      </c>
      <c r="H64" s="152">
        <v>9.5500000000000007</v>
      </c>
      <c r="I64" s="152">
        <f t="shared" si="13"/>
        <v>970.52999999999906</v>
      </c>
      <c r="J64" s="152">
        <f t="shared" si="13"/>
        <v>487.05000000000041</v>
      </c>
      <c r="K64" s="56">
        <f t="shared" si="2"/>
        <v>28.58</v>
      </c>
      <c r="L64" s="56">
        <f t="shared" si="6"/>
        <v>1428.9999999999995</v>
      </c>
      <c r="M64" s="196"/>
      <c r="N64" s="292">
        <f t="shared" si="9"/>
        <v>28.58</v>
      </c>
      <c r="O64" s="289">
        <f t="shared" si="10"/>
        <v>1418.8959999999995</v>
      </c>
      <c r="P64" s="196"/>
      <c r="Q64" s="163">
        <v>2075</v>
      </c>
      <c r="R64" s="298">
        <f t="shared" si="7"/>
        <v>0</v>
      </c>
    </row>
    <row r="65" spans="1:20" ht="15" customHeight="1">
      <c r="B65" s="55">
        <v>2076</v>
      </c>
      <c r="C65" s="150">
        <f t="shared" si="3"/>
        <v>1.3771214694037215E-2</v>
      </c>
      <c r="D65" s="151">
        <f t="shared" si="8"/>
        <v>112481</v>
      </c>
      <c r="E65" s="151">
        <f t="shared" si="4"/>
        <v>1549</v>
      </c>
      <c r="F65" s="151">
        <v>934</v>
      </c>
      <c r="G65" s="152">
        <v>19.03</v>
      </c>
      <c r="H65" s="152">
        <v>9.5500000000000007</v>
      </c>
      <c r="I65" s="152">
        <f t="shared" si="13"/>
        <v>989.55999999999904</v>
      </c>
      <c r="J65" s="152">
        <f t="shared" si="13"/>
        <v>496.60000000000042</v>
      </c>
      <c r="K65" s="56">
        <f t="shared" si="2"/>
        <v>28.58</v>
      </c>
      <c r="L65" s="56">
        <f t="shared" si="6"/>
        <v>1457.5799999999995</v>
      </c>
      <c r="M65" s="196"/>
      <c r="N65" s="292">
        <f t="shared" si="9"/>
        <v>28.58</v>
      </c>
      <c r="O65" s="289">
        <f t="shared" si="10"/>
        <v>1447.4759999999994</v>
      </c>
      <c r="P65" s="196"/>
      <c r="Q65" s="163">
        <v>2076</v>
      </c>
      <c r="R65" s="298">
        <f t="shared" si="7"/>
        <v>0</v>
      </c>
    </row>
    <row r="66" spans="1:20" ht="15" customHeight="1">
      <c r="B66" s="55">
        <v>2077</v>
      </c>
      <c r="C66" s="150">
        <f t="shared" si="3"/>
        <v>1.3584144523371042E-2</v>
      </c>
      <c r="D66" s="151">
        <f t="shared" si="8"/>
        <v>114030</v>
      </c>
      <c r="E66" s="151">
        <f t="shared" si="4"/>
        <v>1549</v>
      </c>
      <c r="F66" s="151">
        <v>934</v>
      </c>
      <c r="G66" s="152">
        <v>19.03</v>
      </c>
      <c r="H66" s="152">
        <v>9.5500000000000007</v>
      </c>
      <c r="I66" s="152">
        <f t="shared" si="13"/>
        <v>1008.589999999999</v>
      </c>
      <c r="J66" s="152">
        <f t="shared" si="13"/>
        <v>506.15000000000043</v>
      </c>
      <c r="K66" s="56">
        <f t="shared" si="2"/>
        <v>28.58</v>
      </c>
      <c r="L66" s="56">
        <f t="shared" si="6"/>
        <v>1486.1599999999994</v>
      </c>
      <c r="M66" s="196"/>
      <c r="N66" s="292">
        <f t="shared" si="9"/>
        <v>28.58</v>
      </c>
      <c r="O66" s="289">
        <f t="shared" si="10"/>
        <v>1476.0559999999994</v>
      </c>
      <c r="P66" s="196"/>
      <c r="Q66" s="163">
        <v>2077</v>
      </c>
      <c r="R66" s="298">
        <f t="shared" si="7"/>
        <v>0</v>
      </c>
    </row>
    <row r="67" spans="1:20" ht="15" customHeight="1">
      <c r="B67" s="55">
        <v>2078</v>
      </c>
      <c r="C67" s="150">
        <f t="shared" si="3"/>
        <v>1.3402088614713746E-2</v>
      </c>
      <c r="D67" s="151">
        <f t="shared" si="8"/>
        <v>115579</v>
      </c>
      <c r="E67" s="151">
        <f t="shared" si="4"/>
        <v>1549</v>
      </c>
      <c r="F67" s="151">
        <v>934</v>
      </c>
      <c r="G67" s="152">
        <v>19.03</v>
      </c>
      <c r="H67" s="152">
        <v>9.5500000000000007</v>
      </c>
      <c r="I67" s="152">
        <f t="shared" si="13"/>
        <v>1027.619999999999</v>
      </c>
      <c r="J67" s="152">
        <f t="shared" si="13"/>
        <v>515.70000000000039</v>
      </c>
      <c r="K67" s="56">
        <f t="shared" si="2"/>
        <v>28.58</v>
      </c>
      <c r="L67" s="56">
        <f t="shared" si="6"/>
        <v>1514.7399999999993</v>
      </c>
      <c r="M67" s="196"/>
      <c r="N67" s="292">
        <f t="shared" si="9"/>
        <v>28.58</v>
      </c>
      <c r="O67" s="289">
        <f t="shared" si="10"/>
        <v>1504.6359999999993</v>
      </c>
      <c r="P67" s="196"/>
      <c r="Q67" s="163">
        <v>2078</v>
      </c>
      <c r="R67" s="298">
        <f t="shared" si="7"/>
        <v>0</v>
      </c>
    </row>
    <row r="68" spans="1:20" ht="15" customHeight="1">
      <c r="B68" s="55">
        <v>2079</v>
      </c>
      <c r="C68" s="150">
        <f t="shared" si="3"/>
        <v>1.3224848029506181E-2</v>
      </c>
      <c r="D68" s="151">
        <f t="shared" si="8"/>
        <v>117128</v>
      </c>
      <c r="E68" s="151">
        <f t="shared" si="4"/>
        <v>1549</v>
      </c>
      <c r="F68" s="151">
        <v>934</v>
      </c>
      <c r="G68" s="152">
        <v>19.03</v>
      </c>
      <c r="H68" s="152">
        <v>9.5500000000000007</v>
      </c>
      <c r="I68" s="152">
        <f t="shared" si="13"/>
        <v>1046.649999999999</v>
      </c>
      <c r="J68" s="152">
        <f t="shared" si="13"/>
        <v>525.25000000000034</v>
      </c>
      <c r="K68" s="56">
        <f t="shared" si="2"/>
        <v>28.58</v>
      </c>
      <c r="L68" s="56">
        <f t="shared" si="6"/>
        <v>1543.3199999999993</v>
      </c>
      <c r="M68" s="196"/>
      <c r="N68" s="292">
        <f t="shared" si="9"/>
        <v>28.58</v>
      </c>
      <c r="O68" s="289">
        <f t="shared" si="10"/>
        <v>1533.2159999999992</v>
      </c>
      <c r="P68" s="196"/>
      <c r="Q68" s="163">
        <v>2079</v>
      </c>
      <c r="R68" s="298">
        <f t="shared" si="7"/>
        <v>0</v>
      </c>
    </row>
    <row r="69" spans="1:20" s="54" customFormat="1" ht="15" customHeight="1">
      <c r="A69" s="13"/>
      <c r="B69" s="55">
        <v>2080</v>
      </c>
      <c r="C69" s="150">
        <f t="shared" si="3"/>
        <v>1.3052234215559882E-2</v>
      </c>
      <c r="D69" s="151">
        <f t="shared" si="8"/>
        <v>118677</v>
      </c>
      <c r="E69" s="151">
        <f t="shared" si="4"/>
        <v>1549</v>
      </c>
      <c r="F69" s="151">
        <v>934</v>
      </c>
      <c r="G69" s="152">
        <v>19.03</v>
      </c>
      <c r="H69" s="152">
        <v>9.5500000000000007</v>
      </c>
      <c r="I69" s="152">
        <f t="shared" si="13"/>
        <v>1065.6799999999989</v>
      </c>
      <c r="J69" s="152">
        <f t="shared" si="13"/>
        <v>534.8000000000003</v>
      </c>
      <c r="K69" s="56">
        <f t="shared" si="2"/>
        <v>28.58</v>
      </c>
      <c r="L69" s="56">
        <f t="shared" si="6"/>
        <v>1571.8999999999992</v>
      </c>
      <c r="M69" s="196"/>
      <c r="N69" s="292">
        <f t="shared" si="9"/>
        <v>28.58</v>
      </c>
      <c r="O69" s="289">
        <f t="shared" si="10"/>
        <v>1561.7959999999991</v>
      </c>
      <c r="P69" s="196"/>
      <c r="Q69" s="163">
        <v>2080</v>
      </c>
      <c r="R69" s="298">
        <f t="shared" si="7"/>
        <v>0</v>
      </c>
      <c r="S69" s="13"/>
      <c r="T69" s="13"/>
    </row>
    <row r="70" spans="1:20" s="54" customFormat="1" ht="15" customHeight="1">
      <c r="A70" s="13"/>
      <c r="B70" s="55">
        <v>2081</v>
      </c>
      <c r="C70" s="150">
        <f t="shared" si="3"/>
        <v>1.2884068337963503E-2</v>
      </c>
      <c r="D70" s="151">
        <f t="shared" si="8"/>
        <v>120226</v>
      </c>
      <c r="E70" s="151">
        <f t="shared" si="4"/>
        <v>1549</v>
      </c>
      <c r="F70" s="151">
        <v>934</v>
      </c>
      <c r="G70" s="152">
        <v>19.03</v>
      </c>
      <c r="H70" s="152">
        <v>9.5500000000000007</v>
      </c>
      <c r="I70" s="152">
        <f t="shared" si="13"/>
        <v>1084.7099999999989</v>
      </c>
      <c r="J70" s="152">
        <f t="shared" si="13"/>
        <v>544.35000000000025</v>
      </c>
      <c r="K70" s="56">
        <f t="shared" si="2"/>
        <v>28.58</v>
      </c>
      <c r="L70" s="56">
        <f t="shared" si="6"/>
        <v>1600.4799999999991</v>
      </c>
      <c r="M70" s="196"/>
      <c r="N70" s="292">
        <f t="shared" si="9"/>
        <v>28.58</v>
      </c>
      <c r="O70" s="289">
        <f t="shared" si="10"/>
        <v>1590.3759999999991</v>
      </c>
      <c r="P70" s="196"/>
      <c r="Q70" s="163">
        <v>2081</v>
      </c>
      <c r="R70" s="298">
        <f t="shared" si="7"/>
        <v>0</v>
      </c>
      <c r="S70" s="13"/>
      <c r="T70" s="13"/>
    </row>
    <row r="71" spans="1:20" s="54" customFormat="1" ht="15" customHeight="1">
      <c r="A71" s="13"/>
      <c r="B71" s="55">
        <v>2082</v>
      </c>
      <c r="C71" s="150">
        <f t="shared" si="3"/>
        <v>1.2720180661055226E-2</v>
      </c>
      <c r="D71" s="151">
        <f t="shared" si="8"/>
        <v>121775</v>
      </c>
      <c r="E71" s="151">
        <f t="shared" si="4"/>
        <v>1549</v>
      </c>
      <c r="F71" s="151">
        <v>934</v>
      </c>
      <c r="G71" s="152">
        <v>19.03</v>
      </c>
      <c r="H71" s="152">
        <v>9.5500000000000007</v>
      </c>
      <c r="I71" s="152">
        <f t="shared" si="13"/>
        <v>1103.7399999999989</v>
      </c>
      <c r="J71" s="152">
        <f t="shared" si="13"/>
        <v>553.9000000000002</v>
      </c>
      <c r="K71" s="56">
        <f t="shared" si="2"/>
        <v>28.58</v>
      </c>
      <c r="L71" s="56">
        <f t="shared" si="6"/>
        <v>1629.059999999999</v>
      </c>
      <c r="M71" s="196"/>
      <c r="N71" s="292">
        <f t="shared" si="9"/>
        <v>28.58</v>
      </c>
      <c r="O71" s="289">
        <f t="shared" si="10"/>
        <v>1618.955999999999</v>
      </c>
      <c r="P71" s="196"/>
      <c r="Q71" s="163">
        <v>2082</v>
      </c>
      <c r="R71" s="298">
        <f t="shared" si="7"/>
        <v>0</v>
      </c>
      <c r="S71" s="13"/>
      <c r="T71" s="13"/>
    </row>
    <row r="72" spans="1:20" s="54" customFormat="1" ht="15" customHeight="1">
      <c r="A72" s="13"/>
      <c r="B72" s="55">
        <v>2083</v>
      </c>
      <c r="C72" s="150">
        <f t="shared" si="3"/>
        <v>1.2560409976971229E-2</v>
      </c>
      <c r="D72" s="151">
        <f t="shared" si="8"/>
        <v>123324</v>
      </c>
      <c r="E72" s="151">
        <f t="shared" si="4"/>
        <v>1549</v>
      </c>
      <c r="F72" s="151">
        <v>934</v>
      </c>
      <c r="G72" s="152">
        <v>19.03</v>
      </c>
      <c r="H72" s="152">
        <v>9.5500000000000007</v>
      </c>
      <c r="I72" s="152">
        <f t="shared" si="13"/>
        <v>1122.7699999999988</v>
      </c>
      <c r="J72" s="152">
        <f t="shared" si="13"/>
        <v>563.45000000000016</v>
      </c>
      <c r="K72" s="56">
        <f t="shared" si="2"/>
        <v>28.58</v>
      </c>
      <c r="L72" s="56">
        <f t="shared" si="6"/>
        <v>1657.639999999999</v>
      </c>
      <c r="M72" s="196"/>
      <c r="N72" s="292">
        <f t="shared" si="9"/>
        <v>28.58</v>
      </c>
      <c r="O72" s="289">
        <f t="shared" si="10"/>
        <v>1647.5359999999989</v>
      </c>
      <c r="P72" s="196"/>
      <c r="Q72" s="163">
        <v>2083</v>
      </c>
      <c r="R72" s="298">
        <f t="shared" si="7"/>
        <v>0</v>
      </c>
      <c r="S72" s="13"/>
      <c r="T72" s="13"/>
    </row>
    <row r="73" spans="1:20" s="54" customFormat="1" ht="15" customHeight="1">
      <c r="A73" s="13"/>
      <c r="B73" s="55">
        <v>2084</v>
      </c>
      <c r="C73" s="150">
        <f t="shared" si="3"/>
        <v>1.2404603076725954E-2</v>
      </c>
      <c r="D73" s="151">
        <f t="shared" si="8"/>
        <v>124873</v>
      </c>
      <c r="E73" s="151">
        <f t="shared" si="4"/>
        <v>1549</v>
      </c>
      <c r="F73" s="151">
        <v>934</v>
      </c>
      <c r="G73" s="152">
        <v>19.03</v>
      </c>
      <c r="H73" s="152">
        <v>9.5500000000000007</v>
      </c>
      <c r="I73" s="152">
        <f t="shared" si="13"/>
        <v>1141.7999999999988</v>
      </c>
      <c r="J73" s="152">
        <f t="shared" si="13"/>
        <v>573.00000000000011</v>
      </c>
      <c r="K73" s="56">
        <f t="shared" si="2"/>
        <v>28.58</v>
      </c>
      <c r="L73" s="56">
        <f t="shared" si="6"/>
        <v>1686.2199999999989</v>
      </c>
      <c r="M73" s="196"/>
      <c r="N73" s="292">
        <f t="shared" si="9"/>
        <v>28.58</v>
      </c>
      <c r="O73" s="289">
        <f t="shared" si="10"/>
        <v>1676.1159999999988</v>
      </c>
      <c r="P73" s="196"/>
      <c r="Q73" s="163">
        <v>2084</v>
      </c>
      <c r="R73" s="298">
        <f t="shared" si="7"/>
        <v>0</v>
      </c>
      <c r="S73" s="13"/>
      <c r="T73" s="13"/>
    </row>
    <row r="74" spans="1:20" s="54" customFormat="1" ht="15" customHeight="1">
      <c r="A74" s="13"/>
      <c r="B74" s="55">
        <v>2085</v>
      </c>
      <c r="C74" s="150">
        <f t="shared" si="3"/>
        <v>1.2252614260176235E-2</v>
      </c>
      <c r="D74" s="151">
        <f t="shared" si="8"/>
        <v>126422</v>
      </c>
      <c r="E74" s="151">
        <f t="shared" si="4"/>
        <v>1549</v>
      </c>
      <c r="F74" s="151">
        <v>934</v>
      </c>
      <c r="G74" s="152">
        <v>19.03</v>
      </c>
      <c r="H74" s="152">
        <v>9.5500000000000007</v>
      </c>
      <c r="I74" s="152">
        <f t="shared" si="13"/>
        <v>1160.8299999999988</v>
      </c>
      <c r="J74" s="152">
        <f t="shared" si="13"/>
        <v>582.55000000000007</v>
      </c>
      <c r="K74" s="56">
        <f t="shared" si="2"/>
        <v>28.58</v>
      </c>
      <c r="L74" s="56">
        <f t="shared" si="6"/>
        <v>1714.7999999999988</v>
      </c>
      <c r="M74" s="196"/>
      <c r="N74" s="292">
        <f t="shared" si="9"/>
        <v>28.58</v>
      </c>
      <c r="O74" s="289">
        <f t="shared" si="10"/>
        <v>1704.6959999999988</v>
      </c>
      <c r="P74" s="196"/>
      <c r="Q74" s="163">
        <v>2085</v>
      </c>
      <c r="R74" s="298">
        <f t="shared" si="7"/>
        <v>0</v>
      </c>
      <c r="S74" s="13"/>
      <c r="T74" s="13"/>
    </row>
    <row r="75" spans="1:20" s="54" customFormat="1" ht="15" customHeight="1">
      <c r="A75" s="13"/>
      <c r="B75" s="55">
        <v>2086</v>
      </c>
      <c r="C75" s="150">
        <f t="shared" si="3"/>
        <v>1.2104304881574731E-2</v>
      </c>
      <c r="D75" s="151">
        <f t="shared" si="8"/>
        <v>127971</v>
      </c>
      <c r="E75" s="151">
        <f t="shared" si="4"/>
        <v>1549</v>
      </c>
      <c r="F75" s="151">
        <v>934</v>
      </c>
      <c r="G75" s="152">
        <v>19.03</v>
      </c>
      <c r="H75" s="152">
        <v>9.5500000000000007</v>
      </c>
      <c r="I75" s="152">
        <f t="shared" si="13"/>
        <v>1179.8599999999988</v>
      </c>
      <c r="J75" s="152">
        <f t="shared" si="13"/>
        <v>592.1</v>
      </c>
      <c r="K75" s="56">
        <f t="shared" si="2"/>
        <v>28.58</v>
      </c>
      <c r="L75" s="56">
        <f t="shared" si="6"/>
        <v>1743.3799999999987</v>
      </c>
      <c r="M75" s="196"/>
      <c r="N75" s="292">
        <f t="shared" si="9"/>
        <v>28.58</v>
      </c>
      <c r="O75" s="289">
        <f t="shared" si="10"/>
        <v>1733.2759999999987</v>
      </c>
      <c r="P75" s="196"/>
      <c r="Q75" s="163">
        <v>2086</v>
      </c>
      <c r="R75" s="298">
        <f t="shared" si="7"/>
        <v>0</v>
      </c>
      <c r="S75" s="13"/>
      <c r="T75" s="13"/>
    </row>
    <row r="76" spans="1:20" s="54" customFormat="1" ht="15" customHeight="1">
      <c r="A76" s="13"/>
      <c r="B76" s="55">
        <v>2087</v>
      </c>
      <c r="C76" s="150">
        <f t="shared" si="3"/>
        <v>1.1959542927733168E-2</v>
      </c>
      <c r="D76" s="151">
        <f t="shared" si="8"/>
        <v>129520</v>
      </c>
      <c r="E76" s="151">
        <f t="shared" si="4"/>
        <v>1549</v>
      </c>
      <c r="F76" s="151">
        <v>934</v>
      </c>
      <c r="G76" s="152">
        <v>19.03</v>
      </c>
      <c r="H76" s="152">
        <v>9.5500000000000007</v>
      </c>
      <c r="I76" s="152">
        <f t="shared" si="13"/>
        <v>1198.8899999999987</v>
      </c>
      <c r="J76" s="152">
        <f t="shared" si="13"/>
        <v>601.65</v>
      </c>
      <c r="K76" s="56">
        <f t="shared" si="2"/>
        <v>28.58</v>
      </c>
      <c r="L76" s="56">
        <f t="shared" si="6"/>
        <v>1771.9599999999987</v>
      </c>
      <c r="M76" s="196"/>
      <c r="N76" s="292">
        <f t="shared" si="9"/>
        <v>28.58</v>
      </c>
      <c r="O76" s="289">
        <f t="shared" si="10"/>
        <v>1761.8559999999986</v>
      </c>
      <c r="P76" s="196"/>
      <c r="Q76" s="163">
        <v>2087</v>
      </c>
      <c r="R76" s="298">
        <f t="shared" si="7"/>
        <v>0</v>
      </c>
      <c r="S76" s="13"/>
      <c r="T76" s="13"/>
    </row>
    <row r="77" spans="1:20" s="54" customFormat="1" ht="15" customHeight="1">
      <c r="A77" s="13"/>
      <c r="B77" s="55">
        <v>2088</v>
      </c>
      <c r="C77" s="150">
        <f t="shared" ref="C77:C123" si="14">(D78-D77)/D77</f>
        <v>1.1818202626097705E-2</v>
      </c>
      <c r="D77" s="151">
        <f t="shared" si="8"/>
        <v>131069</v>
      </c>
      <c r="E77" s="151">
        <f t="shared" si="4"/>
        <v>1549</v>
      </c>
      <c r="F77" s="151">
        <v>934</v>
      </c>
      <c r="G77" s="152">
        <v>19.03</v>
      </c>
      <c r="H77" s="152">
        <v>9.5500000000000007</v>
      </c>
      <c r="I77" s="152">
        <f t="shared" si="13"/>
        <v>1217.9199999999987</v>
      </c>
      <c r="J77" s="152">
        <f t="shared" si="13"/>
        <v>611.19999999999993</v>
      </c>
      <c r="K77" s="56">
        <f t="shared" si="2"/>
        <v>28.58</v>
      </c>
      <c r="L77" s="56">
        <f t="shared" si="6"/>
        <v>1800.5399999999986</v>
      </c>
      <c r="M77" s="196"/>
      <c r="N77" s="292">
        <f t="shared" si="9"/>
        <v>28.58</v>
      </c>
      <c r="O77" s="289">
        <f t="shared" si="10"/>
        <v>1790.4359999999986</v>
      </c>
      <c r="P77" s="196"/>
      <c r="Q77" s="163">
        <v>2088</v>
      </c>
      <c r="R77" s="298">
        <f t="shared" si="7"/>
        <v>0</v>
      </c>
      <c r="S77" s="13"/>
      <c r="T77" s="13"/>
    </row>
    <row r="78" spans="1:20" s="54" customFormat="1" ht="15" customHeight="1">
      <c r="A78" s="13"/>
      <c r="B78" s="55">
        <v>2089</v>
      </c>
      <c r="C78" s="150">
        <f t="shared" si="14"/>
        <v>1.168016408029076E-2</v>
      </c>
      <c r="D78" s="151">
        <f t="shared" ref="D78:D124" si="15">E78+D77</f>
        <v>132618</v>
      </c>
      <c r="E78" s="151">
        <f t="shared" si="4"/>
        <v>1549</v>
      </c>
      <c r="F78" s="151">
        <v>934</v>
      </c>
      <c r="G78" s="152">
        <v>19.03</v>
      </c>
      <c r="H78" s="152">
        <v>9.5500000000000007</v>
      </c>
      <c r="I78" s="152">
        <f t="shared" ref="I78:J93" si="16">+G78+I77</f>
        <v>1236.9499999999987</v>
      </c>
      <c r="J78" s="152">
        <f t="shared" si="16"/>
        <v>620.74999999999989</v>
      </c>
      <c r="K78" s="56">
        <f t="shared" ref="K78:K124" si="17">ROUND(G78+H78,2)</f>
        <v>28.58</v>
      </c>
      <c r="L78" s="56">
        <f t="shared" si="6"/>
        <v>1829.1199999999985</v>
      </c>
      <c r="M78" s="196"/>
      <c r="N78" s="292">
        <f t="shared" si="9"/>
        <v>28.58</v>
      </c>
      <c r="O78" s="289">
        <f t="shared" si="10"/>
        <v>1819.0159999999985</v>
      </c>
      <c r="P78" s="196"/>
      <c r="Q78" s="163">
        <v>2089</v>
      </c>
      <c r="R78" s="298">
        <f t="shared" si="7"/>
        <v>0</v>
      </c>
      <c r="S78" s="13"/>
      <c r="T78" s="13"/>
    </row>
    <row r="79" spans="1:20" s="54" customFormat="1" ht="15" customHeight="1">
      <c r="A79" s="13"/>
      <c r="B79" s="55">
        <v>2090</v>
      </c>
      <c r="C79" s="150">
        <f t="shared" si="14"/>
        <v>1.154531293089955E-2</v>
      </c>
      <c r="D79" s="151">
        <f t="shared" si="15"/>
        <v>134167</v>
      </c>
      <c r="E79" s="151">
        <f t="shared" ref="E79:E124" si="18">+E78</f>
        <v>1549</v>
      </c>
      <c r="F79" s="151">
        <v>934</v>
      </c>
      <c r="G79" s="152">
        <v>19.03</v>
      </c>
      <c r="H79" s="152">
        <v>9.5500000000000007</v>
      </c>
      <c r="I79" s="152">
        <f t="shared" si="16"/>
        <v>1255.9799999999987</v>
      </c>
      <c r="J79" s="152">
        <f t="shared" si="16"/>
        <v>630.29999999999984</v>
      </c>
      <c r="K79" s="56">
        <f t="shared" si="17"/>
        <v>28.58</v>
      </c>
      <c r="L79" s="56">
        <f t="shared" ref="L79:L124" si="19">+K79+L78</f>
        <v>1857.6999999999985</v>
      </c>
      <c r="M79" s="196"/>
      <c r="N79" s="292">
        <f t="shared" si="9"/>
        <v>28.58</v>
      </c>
      <c r="O79" s="289">
        <f t="shared" si="10"/>
        <v>1847.5959999999984</v>
      </c>
      <c r="P79" s="196"/>
      <c r="Q79" s="163">
        <v>2090</v>
      </c>
      <c r="R79" s="298">
        <f t="shared" si="7"/>
        <v>0</v>
      </c>
      <c r="S79" s="13"/>
      <c r="T79" s="13"/>
    </row>
    <row r="80" spans="1:20" s="54" customFormat="1" ht="15" customHeight="1">
      <c r="A80" s="13"/>
      <c r="B80" s="55">
        <v>2091</v>
      </c>
      <c r="C80" s="150">
        <f t="shared" si="14"/>
        <v>1.1413540039494238E-2</v>
      </c>
      <c r="D80" s="151">
        <f t="shared" si="15"/>
        <v>135716</v>
      </c>
      <c r="E80" s="151">
        <f t="shared" si="18"/>
        <v>1549</v>
      </c>
      <c r="F80" s="151">
        <v>934</v>
      </c>
      <c r="G80" s="152">
        <v>19.03</v>
      </c>
      <c r="H80" s="152">
        <v>9.5500000000000007</v>
      </c>
      <c r="I80" s="152">
        <f t="shared" si="16"/>
        <v>1275.0099999999986</v>
      </c>
      <c r="J80" s="152">
        <f t="shared" si="16"/>
        <v>639.8499999999998</v>
      </c>
      <c r="K80" s="56">
        <f t="shared" si="17"/>
        <v>28.58</v>
      </c>
      <c r="L80" s="56">
        <f t="shared" si="19"/>
        <v>1886.2799999999984</v>
      </c>
      <c r="M80" s="196"/>
      <c r="N80" s="292">
        <f t="shared" si="9"/>
        <v>28.58</v>
      </c>
      <c r="O80" s="289">
        <f t="shared" si="10"/>
        <v>1876.1759999999983</v>
      </c>
      <c r="P80" s="196"/>
      <c r="Q80" s="163">
        <v>2091</v>
      </c>
      <c r="R80" s="298">
        <f t="shared" ref="R80:R123" si="20">IF($R$14&gt;O80,N80,IF($R$14-O79&gt;0,$R$14-O79,0))</f>
        <v>0</v>
      </c>
      <c r="S80" s="13"/>
      <c r="T80" s="13"/>
    </row>
    <row r="81" spans="1:20" s="54" customFormat="1" ht="15" customHeight="1">
      <c r="A81" s="13"/>
      <c r="B81" s="55">
        <v>2092</v>
      </c>
      <c r="C81" s="150">
        <f t="shared" si="14"/>
        <v>1.1284741194040724E-2</v>
      </c>
      <c r="D81" s="151">
        <f t="shared" si="15"/>
        <v>137265</v>
      </c>
      <c r="E81" s="151">
        <f t="shared" si="18"/>
        <v>1549</v>
      </c>
      <c r="F81" s="151">
        <v>934</v>
      </c>
      <c r="G81" s="152">
        <v>19.03</v>
      </c>
      <c r="H81" s="152">
        <v>9.5500000000000007</v>
      </c>
      <c r="I81" s="152">
        <f t="shared" si="16"/>
        <v>1294.0399999999986</v>
      </c>
      <c r="J81" s="152">
        <f t="shared" si="16"/>
        <v>649.39999999999975</v>
      </c>
      <c r="K81" s="56">
        <f t="shared" si="17"/>
        <v>28.58</v>
      </c>
      <c r="L81" s="56">
        <f t="shared" si="19"/>
        <v>1914.8599999999983</v>
      </c>
      <c r="M81" s="196"/>
      <c r="N81" s="292">
        <f t="shared" ref="N81:N123" si="21">K81</f>
        <v>28.58</v>
      </c>
      <c r="O81" s="289">
        <f t="shared" ref="O81:O123" si="22">N81+O80</f>
        <v>1904.7559999999983</v>
      </c>
      <c r="P81" s="196"/>
      <c r="Q81" s="163">
        <v>2092</v>
      </c>
      <c r="R81" s="298">
        <f t="shared" si="20"/>
        <v>0</v>
      </c>
      <c r="S81" s="13"/>
      <c r="T81" s="13"/>
    </row>
    <row r="82" spans="1:20" s="54" customFormat="1" ht="15" customHeight="1">
      <c r="A82" s="13"/>
      <c r="B82" s="55">
        <v>2093</v>
      </c>
      <c r="C82" s="150">
        <f t="shared" si="14"/>
        <v>1.1158816834036913E-2</v>
      </c>
      <c r="D82" s="151">
        <f t="shared" si="15"/>
        <v>138814</v>
      </c>
      <c r="E82" s="151">
        <f t="shared" si="18"/>
        <v>1549</v>
      </c>
      <c r="F82" s="151">
        <v>934</v>
      </c>
      <c r="G82" s="152">
        <v>19.03</v>
      </c>
      <c r="H82" s="152">
        <v>9.5500000000000007</v>
      </c>
      <c r="I82" s="152">
        <f t="shared" si="16"/>
        <v>1313.0699999999986</v>
      </c>
      <c r="J82" s="152">
        <f t="shared" si="16"/>
        <v>658.9499999999997</v>
      </c>
      <c r="K82" s="56">
        <f t="shared" si="17"/>
        <v>28.58</v>
      </c>
      <c r="L82" s="56">
        <f t="shared" si="19"/>
        <v>1943.4399999999982</v>
      </c>
      <c r="M82" s="196"/>
      <c r="N82" s="292">
        <f t="shared" si="21"/>
        <v>28.58</v>
      </c>
      <c r="O82" s="289">
        <f t="shared" si="22"/>
        <v>1933.3359999999982</v>
      </c>
      <c r="P82" s="196"/>
      <c r="Q82" s="163">
        <v>2093</v>
      </c>
      <c r="R82" s="298">
        <f t="shared" si="20"/>
        <v>0</v>
      </c>
      <c r="S82" s="13"/>
      <c r="T82" s="13"/>
    </row>
    <row r="83" spans="1:20" s="54" customFormat="1" ht="15" customHeight="1">
      <c r="A83" s="13"/>
      <c r="B83" s="55">
        <v>2094</v>
      </c>
      <c r="C83" s="150">
        <f t="shared" si="14"/>
        <v>1.1035671793848807E-2</v>
      </c>
      <c r="D83" s="151">
        <f t="shared" si="15"/>
        <v>140363</v>
      </c>
      <c r="E83" s="151">
        <f t="shared" si="18"/>
        <v>1549</v>
      </c>
      <c r="F83" s="151">
        <v>934</v>
      </c>
      <c r="G83" s="152">
        <v>19.03</v>
      </c>
      <c r="H83" s="152">
        <v>9.5500000000000007</v>
      </c>
      <c r="I83" s="152">
        <f t="shared" si="16"/>
        <v>1332.0999999999985</v>
      </c>
      <c r="J83" s="152">
        <f t="shared" si="16"/>
        <v>668.49999999999966</v>
      </c>
      <c r="K83" s="56">
        <f t="shared" si="17"/>
        <v>28.58</v>
      </c>
      <c r="L83" s="56">
        <f t="shared" si="19"/>
        <v>1972.0199999999982</v>
      </c>
      <c r="M83" s="196"/>
      <c r="N83" s="292">
        <f t="shared" si="21"/>
        <v>28.58</v>
      </c>
      <c r="O83" s="289">
        <f t="shared" si="22"/>
        <v>1961.9159999999981</v>
      </c>
      <c r="P83" s="196"/>
      <c r="Q83" s="163">
        <v>2094</v>
      </c>
      <c r="R83" s="298">
        <f t="shared" si="20"/>
        <v>0</v>
      </c>
      <c r="S83" s="13"/>
      <c r="T83" s="13"/>
    </row>
    <row r="84" spans="1:20" s="54" customFormat="1" ht="15" customHeight="1">
      <c r="A84" s="13"/>
      <c r="B84" s="55">
        <v>2095</v>
      </c>
      <c r="C84" s="150">
        <f t="shared" si="14"/>
        <v>1.0915215062855855E-2</v>
      </c>
      <c r="D84" s="151">
        <f t="shared" si="15"/>
        <v>141912</v>
      </c>
      <c r="E84" s="151">
        <f t="shared" si="18"/>
        <v>1549</v>
      </c>
      <c r="F84" s="151">
        <v>934</v>
      </c>
      <c r="G84" s="152">
        <v>19.03</v>
      </c>
      <c r="H84" s="152">
        <v>9.5500000000000007</v>
      </c>
      <c r="I84" s="152">
        <f t="shared" si="16"/>
        <v>1351.1299999999985</v>
      </c>
      <c r="J84" s="152">
        <f t="shared" si="16"/>
        <v>678.04999999999961</v>
      </c>
      <c r="K84" s="56">
        <f t="shared" si="17"/>
        <v>28.58</v>
      </c>
      <c r="L84" s="56">
        <f t="shared" si="19"/>
        <v>2000.5999999999981</v>
      </c>
      <c r="M84" s="196"/>
      <c r="N84" s="292">
        <f t="shared" si="21"/>
        <v>28.58</v>
      </c>
      <c r="O84" s="289">
        <f t="shared" si="22"/>
        <v>1990.495999999998</v>
      </c>
      <c r="P84" s="196"/>
      <c r="Q84" s="163">
        <v>2095</v>
      </c>
      <c r="R84" s="298">
        <f t="shared" si="20"/>
        <v>0</v>
      </c>
      <c r="S84" s="13"/>
      <c r="T84" s="13"/>
    </row>
    <row r="85" spans="1:20" s="54" customFormat="1" ht="15" customHeight="1">
      <c r="A85" s="13"/>
      <c r="B85" s="55">
        <v>2096</v>
      </c>
      <c r="C85" s="150">
        <f t="shared" si="14"/>
        <v>1.0797359561135082E-2</v>
      </c>
      <c r="D85" s="151">
        <f t="shared" si="15"/>
        <v>143461</v>
      </c>
      <c r="E85" s="151">
        <f t="shared" si="18"/>
        <v>1549</v>
      </c>
      <c r="F85" s="151">
        <v>934</v>
      </c>
      <c r="G85" s="152">
        <v>19.03</v>
      </c>
      <c r="H85" s="152">
        <v>9.5500000000000007</v>
      </c>
      <c r="I85" s="152">
        <f t="shared" si="16"/>
        <v>1370.1599999999985</v>
      </c>
      <c r="J85" s="152">
        <f t="shared" si="16"/>
        <v>687.59999999999957</v>
      </c>
      <c r="K85" s="56">
        <f t="shared" si="17"/>
        <v>28.58</v>
      </c>
      <c r="L85" s="56">
        <f t="shared" si="19"/>
        <v>2029.179999999998</v>
      </c>
      <c r="M85" s="196"/>
      <c r="N85" s="292">
        <f t="shared" si="21"/>
        <v>28.58</v>
      </c>
      <c r="O85" s="289">
        <f t="shared" si="22"/>
        <v>2019.075999999998</v>
      </c>
      <c r="P85" s="196"/>
      <c r="Q85" s="163">
        <v>2096</v>
      </c>
      <c r="R85" s="298">
        <f t="shared" si="20"/>
        <v>0</v>
      </c>
      <c r="S85" s="13"/>
      <c r="T85" s="13"/>
    </row>
    <row r="86" spans="1:20" s="54" customFormat="1" ht="15" customHeight="1">
      <c r="A86" s="13"/>
      <c r="B86" s="55">
        <v>2097</v>
      </c>
      <c r="C86" s="150">
        <f t="shared" si="14"/>
        <v>1.0682021929522102E-2</v>
      </c>
      <c r="D86" s="151">
        <f t="shared" si="15"/>
        <v>145010</v>
      </c>
      <c r="E86" s="151">
        <f t="shared" si="18"/>
        <v>1549</v>
      </c>
      <c r="F86" s="151">
        <v>934</v>
      </c>
      <c r="G86" s="152">
        <v>19.03</v>
      </c>
      <c r="H86" s="152">
        <v>9.5500000000000007</v>
      </c>
      <c r="I86" s="152">
        <f t="shared" si="16"/>
        <v>1389.1899999999985</v>
      </c>
      <c r="J86" s="152">
        <f t="shared" si="16"/>
        <v>697.14999999999952</v>
      </c>
      <c r="K86" s="56">
        <f t="shared" si="17"/>
        <v>28.58</v>
      </c>
      <c r="L86" s="56">
        <f t="shared" si="19"/>
        <v>2057.7599999999979</v>
      </c>
      <c r="M86" s="196"/>
      <c r="N86" s="292">
        <f t="shared" si="21"/>
        <v>28.58</v>
      </c>
      <c r="O86" s="289">
        <f t="shared" si="22"/>
        <v>2047.6559999999979</v>
      </c>
      <c r="P86" s="196"/>
      <c r="Q86" s="163">
        <v>2097</v>
      </c>
      <c r="R86" s="298">
        <f t="shared" si="20"/>
        <v>0</v>
      </c>
      <c r="S86" s="13"/>
      <c r="T86" s="13"/>
    </row>
    <row r="87" spans="1:20" s="54" customFormat="1" ht="15" customHeight="1">
      <c r="A87" s="13"/>
      <c r="B87" s="55">
        <v>2098</v>
      </c>
      <c r="C87" s="150">
        <f t="shared" si="14"/>
        <v>1.0569122332985351E-2</v>
      </c>
      <c r="D87" s="151">
        <f t="shared" si="15"/>
        <v>146559</v>
      </c>
      <c r="E87" s="151">
        <f t="shared" si="18"/>
        <v>1549</v>
      </c>
      <c r="F87" s="151">
        <v>934</v>
      </c>
      <c r="G87" s="152">
        <v>19.03</v>
      </c>
      <c r="H87" s="152">
        <v>9.5500000000000007</v>
      </c>
      <c r="I87" s="152">
        <f t="shared" si="16"/>
        <v>1408.2199999999984</v>
      </c>
      <c r="J87" s="152">
        <f t="shared" si="16"/>
        <v>706.69999999999948</v>
      </c>
      <c r="K87" s="56">
        <f t="shared" si="17"/>
        <v>28.58</v>
      </c>
      <c r="L87" s="56">
        <f t="shared" si="19"/>
        <v>2086.3399999999979</v>
      </c>
      <c r="M87" s="196"/>
      <c r="N87" s="292">
        <f t="shared" si="21"/>
        <v>28.58</v>
      </c>
      <c r="O87" s="289">
        <f t="shared" si="22"/>
        <v>2076.2359999999981</v>
      </c>
      <c r="P87" s="196"/>
      <c r="Q87" s="163">
        <v>2098</v>
      </c>
      <c r="R87" s="298">
        <f t="shared" si="20"/>
        <v>0</v>
      </c>
      <c r="S87" s="13"/>
      <c r="T87" s="13"/>
    </row>
    <row r="88" spans="1:20" s="54" customFormat="1" ht="15" customHeight="1">
      <c r="A88" s="13"/>
      <c r="B88" s="55">
        <v>2099</v>
      </c>
      <c r="C88" s="150">
        <f t="shared" si="14"/>
        <v>1.0458584276338887E-2</v>
      </c>
      <c r="D88" s="151">
        <f t="shared" si="15"/>
        <v>148108</v>
      </c>
      <c r="E88" s="151">
        <f t="shared" si="18"/>
        <v>1549</v>
      </c>
      <c r="F88" s="151">
        <v>934</v>
      </c>
      <c r="G88" s="152">
        <v>19.03</v>
      </c>
      <c r="H88" s="152">
        <v>9.5500000000000007</v>
      </c>
      <c r="I88" s="152">
        <f t="shared" si="16"/>
        <v>1427.2499999999984</v>
      </c>
      <c r="J88" s="152">
        <f t="shared" si="16"/>
        <v>716.24999999999943</v>
      </c>
      <c r="K88" s="56">
        <f t="shared" si="17"/>
        <v>28.58</v>
      </c>
      <c r="L88" s="56">
        <f t="shared" si="19"/>
        <v>2114.9199999999978</v>
      </c>
      <c r="M88" s="196"/>
      <c r="N88" s="292">
        <f t="shared" si="21"/>
        <v>28.58</v>
      </c>
      <c r="O88" s="289">
        <f t="shared" si="22"/>
        <v>2104.815999999998</v>
      </c>
      <c r="P88" s="196"/>
      <c r="Q88" s="163">
        <v>2099</v>
      </c>
      <c r="R88" s="298">
        <f t="shared" si="20"/>
        <v>0</v>
      </c>
      <c r="S88" s="13"/>
      <c r="T88" s="13"/>
    </row>
    <row r="89" spans="1:20" s="54" customFormat="1" ht="15" customHeight="1">
      <c r="A89" s="13"/>
      <c r="B89" s="55">
        <v>2100</v>
      </c>
      <c r="C89" s="150">
        <f t="shared" si="14"/>
        <v>1.0350334431399801E-2</v>
      </c>
      <c r="D89" s="151">
        <f t="shared" si="15"/>
        <v>149657</v>
      </c>
      <c r="E89" s="151">
        <f t="shared" si="18"/>
        <v>1549</v>
      </c>
      <c r="F89" s="151">
        <v>934</v>
      </c>
      <c r="G89" s="152">
        <v>19.03</v>
      </c>
      <c r="H89" s="152">
        <v>9.5500000000000007</v>
      </c>
      <c r="I89" s="152">
        <f t="shared" si="16"/>
        <v>1446.2799999999984</v>
      </c>
      <c r="J89" s="152">
        <f t="shared" si="16"/>
        <v>725.79999999999939</v>
      </c>
      <c r="K89" s="56">
        <f t="shared" si="17"/>
        <v>28.58</v>
      </c>
      <c r="L89" s="56">
        <f t="shared" si="19"/>
        <v>2143.4999999999977</v>
      </c>
      <c r="M89" s="196"/>
      <c r="N89" s="292">
        <f t="shared" si="21"/>
        <v>28.58</v>
      </c>
      <c r="O89" s="289">
        <f t="shared" si="22"/>
        <v>2133.3959999999979</v>
      </c>
      <c r="P89" s="196"/>
      <c r="Q89" s="163">
        <v>2100</v>
      </c>
      <c r="R89" s="298">
        <f t="shared" si="20"/>
        <v>0</v>
      </c>
      <c r="S89" s="13"/>
      <c r="T89" s="13"/>
    </row>
    <row r="90" spans="1:20" s="54" customFormat="1" ht="15" customHeight="1">
      <c r="A90" s="13"/>
      <c r="B90" s="55">
        <v>2101</v>
      </c>
      <c r="C90" s="150">
        <f t="shared" si="14"/>
        <v>1.0244302474769519E-2</v>
      </c>
      <c r="D90" s="151">
        <f t="shared" si="15"/>
        <v>151206</v>
      </c>
      <c r="E90" s="151">
        <f t="shared" si="18"/>
        <v>1549</v>
      </c>
      <c r="F90" s="151">
        <v>934</v>
      </c>
      <c r="G90" s="152">
        <v>19.03</v>
      </c>
      <c r="H90" s="152">
        <v>9.5500000000000007</v>
      </c>
      <c r="I90" s="152">
        <f t="shared" si="16"/>
        <v>1465.3099999999984</v>
      </c>
      <c r="J90" s="152">
        <f t="shared" si="16"/>
        <v>735.34999999999934</v>
      </c>
      <c r="K90" s="56">
        <f t="shared" si="17"/>
        <v>28.58</v>
      </c>
      <c r="L90" s="56">
        <f t="shared" si="19"/>
        <v>2172.0799999999977</v>
      </c>
      <c r="M90" s="196"/>
      <c r="N90" s="292">
        <f t="shared" si="21"/>
        <v>28.58</v>
      </c>
      <c r="O90" s="289">
        <f t="shared" si="22"/>
        <v>2161.9759999999978</v>
      </c>
      <c r="P90" s="196"/>
      <c r="Q90" s="163">
        <v>2101</v>
      </c>
      <c r="R90" s="298">
        <f t="shared" si="20"/>
        <v>0</v>
      </c>
      <c r="S90" s="13"/>
      <c r="T90" s="13"/>
    </row>
    <row r="91" spans="1:20" s="54" customFormat="1" ht="15" customHeight="1">
      <c r="A91" s="13"/>
      <c r="B91" s="55">
        <v>2102</v>
      </c>
      <c r="C91" s="150">
        <f t="shared" si="14"/>
        <v>1.0140420935484926E-2</v>
      </c>
      <c r="D91" s="151">
        <f t="shared" si="15"/>
        <v>152755</v>
      </c>
      <c r="E91" s="151">
        <f t="shared" si="18"/>
        <v>1549</v>
      </c>
      <c r="F91" s="151">
        <v>934</v>
      </c>
      <c r="G91" s="152">
        <v>19.03</v>
      </c>
      <c r="H91" s="152">
        <v>9.5500000000000007</v>
      </c>
      <c r="I91" s="152">
        <f t="shared" si="16"/>
        <v>1484.3399999999983</v>
      </c>
      <c r="J91" s="152">
        <f t="shared" si="16"/>
        <v>744.8999999999993</v>
      </c>
      <c r="K91" s="56">
        <f t="shared" si="17"/>
        <v>28.58</v>
      </c>
      <c r="L91" s="56">
        <f t="shared" si="19"/>
        <v>2200.6599999999976</v>
      </c>
      <c r="M91" s="196"/>
      <c r="N91" s="292">
        <f t="shared" si="21"/>
        <v>28.58</v>
      </c>
      <c r="O91" s="289">
        <f t="shared" si="22"/>
        <v>2190.5559999999978</v>
      </c>
      <c r="P91" s="196"/>
      <c r="Q91" s="163">
        <v>2102</v>
      </c>
      <c r="R91" s="298">
        <f t="shared" si="20"/>
        <v>0</v>
      </c>
      <c r="S91" s="13"/>
      <c r="T91" s="13"/>
    </row>
    <row r="92" spans="1:20" s="54" customFormat="1" ht="15" customHeight="1">
      <c r="A92" s="13"/>
      <c r="B92" s="55">
        <v>2103</v>
      </c>
      <c r="C92" s="150">
        <f t="shared" si="14"/>
        <v>1.0038625051845707E-2</v>
      </c>
      <c r="D92" s="151">
        <f t="shared" si="15"/>
        <v>154304</v>
      </c>
      <c r="E92" s="151">
        <f t="shared" si="18"/>
        <v>1549</v>
      </c>
      <c r="F92" s="151">
        <v>934</v>
      </c>
      <c r="G92" s="152">
        <v>19.03</v>
      </c>
      <c r="H92" s="152">
        <v>9.5500000000000007</v>
      </c>
      <c r="I92" s="152">
        <f t="shared" si="16"/>
        <v>1503.3699999999983</v>
      </c>
      <c r="J92" s="152">
        <f t="shared" si="16"/>
        <v>754.44999999999925</v>
      </c>
      <c r="K92" s="56">
        <f t="shared" si="17"/>
        <v>28.58</v>
      </c>
      <c r="L92" s="56">
        <f t="shared" si="19"/>
        <v>2229.2399999999975</v>
      </c>
      <c r="M92" s="196"/>
      <c r="N92" s="292">
        <f t="shared" si="21"/>
        <v>28.58</v>
      </c>
      <c r="O92" s="289">
        <f t="shared" si="22"/>
        <v>2219.1359999999977</v>
      </c>
      <c r="P92" s="196"/>
      <c r="Q92" s="163">
        <v>2103</v>
      </c>
      <c r="R92" s="298">
        <f t="shared" si="20"/>
        <v>0</v>
      </c>
      <c r="S92" s="13"/>
      <c r="T92" s="13"/>
    </row>
    <row r="93" spans="1:20" s="54" customFormat="1" ht="15" customHeight="1">
      <c r="A93" s="13"/>
      <c r="B93" s="55">
        <v>2104</v>
      </c>
      <c r="C93" s="150">
        <f t="shared" si="14"/>
        <v>9.9388526367795299E-3</v>
      </c>
      <c r="D93" s="151">
        <f t="shared" si="15"/>
        <v>155853</v>
      </c>
      <c r="E93" s="151">
        <f t="shared" si="18"/>
        <v>1549</v>
      </c>
      <c r="F93" s="151">
        <v>934</v>
      </c>
      <c r="G93" s="152">
        <v>19.03</v>
      </c>
      <c r="H93" s="152">
        <v>9.5500000000000007</v>
      </c>
      <c r="I93" s="152">
        <f t="shared" si="16"/>
        <v>1522.3999999999983</v>
      </c>
      <c r="J93" s="152">
        <f t="shared" si="16"/>
        <v>763.9999999999992</v>
      </c>
      <c r="K93" s="56">
        <f t="shared" si="17"/>
        <v>28.58</v>
      </c>
      <c r="L93" s="56">
        <f t="shared" si="19"/>
        <v>2257.8199999999974</v>
      </c>
      <c r="M93" s="196"/>
      <c r="N93" s="292">
        <f t="shared" si="21"/>
        <v>28.58</v>
      </c>
      <c r="O93" s="289">
        <f t="shared" si="22"/>
        <v>2247.7159999999976</v>
      </c>
      <c r="P93" s="196"/>
      <c r="Q93" s="163">
        <v>2104</v>
      </c>
      <c r="R93" s="298">
        <f t="shared" si="20"/>
        <v>0</v>
      </c>
      <c r="S93" s="13"/>
      <c r="T93" s="13"/>
    </row>
    <row r="94" spans="1:20" s="54" customFormat="1" ht="15" customHeight="1">
      <c r="A94" s="13"/>
      <c r="B94" s="55">
        <v>2105</v>
      </c>
      <c r="C94" s="150">
        <f t="shared" si="14"/>
        <v>9.8410439511569109E-3</v>
      </c>
      <c r="D94" s="151">
        <f t="shared" si="15"/>
        <v>157402</v>
      </c>
      <c r="E94" s="151">
        <f t="shared" si="18"/>
        <v>1549</v>
      </c>
      <c r="F94" s="151">
        <v>934</v>
      </c>
      <c r="G94" s="152">
        <v>19.03</v>
      </c>
      <c r="H94" s="152">
        <v>9.5500000000000007</v>
      </c>
      <c r="I94" s="152">
        <f t="shared" ref="I94:J109" si="23">+G94+I93</f>
        <v>1541.4299999999982</v>
      </c>
      <c r="J94" s="152">
        <f t="shared" si="23"/>
        <v>773.54999999999916</v>
      </c>
      <c r="K94" s="56">
        <f t="shared" si="17"/>
        <v>28.58</v>
      </c>
      <c r="L94" s="56">
        <f t="shared" si="19"/>
        <v>2286.3999999999974</v>
      </c>
      <c r="M94" s="196"/>
      <c r="N94" s="292">
        <f t="shared" si="21"/>
        <v>28.58</v>
      </c>
      <c r="O94" s="289">
        <f t="shared" si="22"/>
        <v>2276.2959999999975</v>
      </c>
      <c r="P94" s="196"/>
      <c r="Q94" s="163">
        <v>2105</v>
      </c>
      <c r="R94" s="298">
        <f t="shared" si="20"/>
        <v>0</v>
      </c>
      <c r="S94" s="13"/>
      <c r="T94" s="13"/>
    </row>
    <row r="95" spans="1:20" s="54" customFormat="1" ht="15" customHeight="1">
      <c r="A95" s="13"/>
      <c r="B95" s="55">
        <v>2106</v>
      </c>
      <c r="C95" s="150">
        <f t="shared" si="14"/>
        <v>9.745141584513466E-3</v>
      </c>
      <c r="D95" s="151">
        <f t="shared" si="15"/>
        <v>158951</v>
      </c>
      <c r="E95" s="151">
        <f t="shared" si="18"/>
        <v>1549</v>
      </c>
      <c r="F95" s="151">
        <v>934</v>
      </c>
      <c r="G95" s="152">
        <v>19.03</v>
      </c>
      <c r="H95" s="152">
        <v>9.5500000000000007</v>
      </c>
      <c r="I95" s="152">
        <f t="shared" si="23"/>
        <v>1560.4599999999982</v>
      </c>
      <c r="J95" s="152">
        <f t="shared" si="23"/>
        <v>783.09999999999911</v>
      </c>
      <c r="K95" s="56">
        <f t="shared" si="17"/>
        <v>28.58</v>
      </c>
      <c r="L95" s="56">
        <f t="shared" si="19"/>
        <v>2314.9799999999973</v>
      </c>
      <c r="M95" s="196"/>
      <c r="N95" s="292">
        <f t="shared" si="21"/>
        <v>28.58</v>
      </c>
      <c r="O95" s="289">
        <f t="shared" si="22"/>
        <v>2304.8759999999975</v>
      </c>
      <c r="P95" s="196"/>
      <c r="Q95" s="163">
        <v>2106</v>
      </c>
      <c r="R95" s="298">
        <f t="shared" si="20"/>
        <v>0</v>
      </c>
      <c r="S95" s="13"/>
      <c r="T95" s="13"/>
    </row>
    <row r="96" spans="1:20" s="54" customFormat="1" ht="15" customHeight="1">
      <c r="A96" s="13"/>
      <c r="B96" s="55">
        <v>2107</v>
      </c>
      <c r="C96" s="150">
        <f t="shared" si="14"/>
        <v>9.6510903426791275E-3</v>
      </c>
      <c r="D96" s="151">
        <f t="shared" si="15"/>
        <v>160500</v>
      </c>
      <c r="E96" s="151">
        <f t="shared" si="18"/>
        <v>1549</v>
      </c>
      <c r="F96" s="151">
        <v>934</v>
      </c>
      <c r="G96" s="152">
        <v>19.03</v>
      </c>
      <c r="H96" s="152">
        <v>9.5500000000000007</v>
      </c>
      <c r="I96" s="152">
        <f t="shared" si="23"/>
        <v>1579.4899999999982</v>
      </c>
      <c r="J96" s="152">
        <f t="shared" si="23"/>
        <v>792.64999999999907</v>
      </c>
      <c r="K96" s="56">
        <f t="shared" si="17"/>
        <v>28.58</v>
      </c>
      <c r="L96" s="56">
        <f t="shared" si="19"/>
        <v>2343.5599999999972</v>
      </c>
      <c r="M96" s="196"/>
      <c r="N96" s="292">
        <f t="shared" si="21"/>
        <v>28.58</v>
      </c>
      <c r="O96" s="289">
        <f t="shared" si="22"/>
        <v>2333.4559999999974</v>
      </c>
      <c r="P96" s="196"/>
      <c r="Q96" s="163">
        <v>2107</v>
      </c>
      <c r="R96" s="298">
        <f t="shared" si="20"/>
        <v>0</v>
      </c>
      <c r="S96" s="13"/>
      <c r="T96" s="13"/>
    </row>
    <row r="97" spans="1:20" s="54" customFormat="1" ht="15" customHeight="1">
      <c r="A97" s="13"/>
      <c r="B97" s="55">
        <v>2108</v>
      </c>
      <c r="C97" s="150">
        <f t="shared" si="14"/>
        <v>9.5588371418521556E-3</v>
      </c>
      <c r="D97" s="151">
        <f t="shared" si="15"/>
        <v>162049</v>
      </c>
      <c r="E97" s="151">
        <f t="shared" si="18"/>
        <v>1549</v>
      </c>
      <c r="F97" s="151">
        <v>934</v>
      </c>
      <c r="G97" s="152">
        <v>19.03</v>
      </c>
      <c r="H97" s="152">
        <v>9.5500000000000007</v>
      </c>
      <c r="I97" s="152">
        <f t="shared" si="23"/>
        <v>1598.5199999999982</v>
      </c>
      <c r="J97" s="152">
        <f t="shared" si="23"/>
        <v>802.19999999999902</v>
      </c>
      <c r="K97" s="56">
        <f t="shared" si="17"/>
        <v>28.58</v>
      </c>
      <c r="L97" s="56">
        <f t="shared" si="19"/>
        <v>2372.1399999999971</v>
      </c>
      <c r="M97" s="196"/>
      <c r="N97" s="292">
        <f t="shared" si="21"/>
        <v>28.58</v>
      </c>
      <c r="O97" s="289">
        <f t="shared" si="22"/>
        <v>2362.0359999999973</v>
      </c>
      <c r="P97" s="196"/>
      <c r="Q97" s="163">
        <v>2108</v>
      </c>
      <c r="R97" s="298">
        <f t="shared" si="20"/>
        <v>0</v>
      </c>
      <c r="S97" s="13"/>
      <c r="T97" s="13"/>
    </row>
    <row r="98" spans="1:20" s="54" customFormat="1" ht="15" customHeight="1">
      <c r="A98" s="13"/>
      <c r="B98" s="55">
        <v>2109</v>
      </c>
      <c r="C98" s="150">
        <f t="shared" si="14"/>
        <v>9.4683309086908158E-3</v>
      </c>
      <c r="D98" s="151">
        <f t="shared" si="15"/>
        <v>163598</v>
      </c>
      <c r="E98" s="151">
        <f t="shared" si="18"/>
        <v>1549</v>
      </c>
      <c r="F98" s="151">
        <v>934</v>
      </c>
      <c r="G98" s="152">
        <v>19.03</v>
      </c>
      <c r="H98" s="152">
        <v>9.5500000000000007</v>
      </c>
      <c r="I98" s="152">
        <f t="shared" si="23"/>
        <v>1617.5499999999981</v>
      </c>
      <c r="J98" s="152">
        <f t="shared" si="23"/>
        <v>811.74999999999898</v>
      </c>
      <c r="K98" s="56">
        <f t="shared" si="17"/>
        <v>28.58</v>
      </c>
      <c r="L98" s="56">
        <f t="shared" si="19"/>
        <v>2400.7199999999971</v>
      </c>
      <c r="M98" s="196"/>
      <c r="N98" s="292">
        <f t="shared" si="21"/>
        <v>28.58</v>
      </c>
      <c r="O98" s="289">
        <f t="shared" si="22"/>
        <v>2390.6159999999973</v>
      </c>
      <c r="P98" s="196"/>
      <c r="Q98" s="163">
        <v>2109</v>
      </c>
      <c r="R98" s="298">
        <f t="shared" si="20"/>
        <v>0</v>
      </c>
      <c r="S98" s="13"/>
      <c r="T98" s="13"/>
    </row>
    <row r="99" spans="1:20" s="54" customFormat="1" ht="15" customHeight="1">
      <c r="A99" s="13"/>
      <c r="B99" s="55">
        <v>2110</v>
      </c>
      <c r="C99" s="150">
        <f t="shared" si="14"/>
        <v>9.3795224860275996E-3</v>
      </c>
      <c r="D99" s="151">
        <f t="shared" si="15"/>
        <v>165147</v>
      </c>
      <c r="E99" s="151">
        <f t="shared" si="18"/>
        <v>1549</v>
      </c>
      <c r="F99" s="151">
        <v>934</v>
      </c>
      <c r="G99" s="152">
        <v>19.03</v>
      </c>
      <c r="H99" s="152">
        <v>9.5500000000000007</v>
      </c>
      <c r="I99" s="152">
        <f t="shared" si="23"/>
        <v>1636.5799999999981</v>
      </c>
      <c r="J99" s="152">
        <f t="shared" si="23"/>
        <v>821.29999999999893</v>
      </c>
      <c r="K99" s="56">
        <f t="shared" si="17"/>
        <v>28.58</v>
      </c>
      <c r="L99" s="56">
        <f t="shared" si="19"/>
        <v>2429.299999999997</v>
      </c>
      <c r="M99" s="196"/>
      <c r="N99" s="292">
        <f t="shared" si="21"/>
        <v>28.58</v>
      </c>
      <c r="O99" s="289">
        <f t="shared" si="22"/>
        <v>2419.1959999999972</v>
      </c>
      <c r="P99" s="196"/>
      <c r="Q99" s="163">
        <v>2110</v>
      </c>
      <c r="R99" s="298">
        <f t="shared" si="20"/>
        <v>0</v>
      </c>
      <c r="S99" s="13"/>
      <c r="T99" s="13"/>
    </row>
    <row r="100" spans="1:20" s="54" customFormat="1" ht="15" customHeight="1">
      <c r="A100" s="13"/>
      <c r="B100" s="55">
        <v>2111</v>
      </c>
      <c r="C100" s="150">
        <f t="shared" si="14"/>
        <v>9.2923645438402844E-3</v>
      </c>
      <c r="D100" s="151">
        <f t="shared" si="15"/>
        <v>166696</v>
      </c>
      <c r="E100" s="151">
        <f t="shared" si="18"/>
        <v>1549</v>
      </c>
      <c r="F100" s="151">
        <v>934</v>
      </c>
      <c r="G100" s="152">
        <v>19.03</v>
      </c>
      <c r="H100" s="152">
        <v>9.5500000000000007</v>
      </c>
      <c r="I100" s="152">
        <f t="shared" si="23"/>
        <v>1655.6099999999981</v>
      </c>
      <c r="J100" s="152">
        <f t="shared" si="23"/>
        <v>830.84999999999889</v>
      </c>
      <c r="K100" s="56">
        <f t="shared" si="17"/>
        <v>28.58</v>
      </c>
      <c r="L100" s="56">
        <f t="shared" si="19"/>
        <v>2457.8799999999969</v>
      </c>
      <c r="M100" s="196"/>
      <c r="N100" s="292">
        <f t="shared" si="21"/>
        <v>28.58</v>
      </c>
      <c r="O100" s="289">
        <f t="shared" si="22"/>
        <v>2447.7759999999971</v>
      </c>
      <c r="P100" s="196"/>
      <c r="Q100" s="163">
        <v>2111</v>
      </c>
      <c r="R100" s="298">
        <f t="shared" si="20"/>
        <v>0</v>
      </c>
      <c r="S100" s="13"/>
      <c r="T100" s="13"/>
    </row>
    <row r="101" spans="1:20" s="54" customFormat="1" ht="15" customHeight="1">
      <c r="A101" s="13"/>
      <c r="B101" s="55">
        <v>2112</v>
      </c>
      <c r="C101" s="150">
        <f t="shared" si="14"/>
        <v>9.2068114951410138E-3</v>
      </c>
      <c r="D101" s="151">
        <f t="shared" si="15"/>
        <v>168245</v>
      </c>
      <c r="E101" s="151">
        <f t="shared" si="18"/>
        <v>1549</v>
      </c>
      <c r="F101" s="151">
        <v>934</v>
      </c>
      <c r="G101" s="152">
        <v>19.03</v>
      </c>
      <c r="H101" s="152">
        <v>9.5500000000000007</v>
      </c>
      <c r="I101" s="152">
        <f t="shared" si="23"/>
        <v>1674.6399999999981</v>
      </c>
      <c r="J101" s="152">
        <f t="shared" si="23"/>
        <v>840.39999999999884</v>
      </c>
      <c r="K101" s="56">
        <f t="shared" si="17"/>
        <v>28.58</v>
      </c>
      <c r="L101" s="56">
        <f t="shared" si="19"/>
        <v>2486.4599999999969</v>
      </c>
      <c r="M101" s="196"/>
      <c r="N101" s="292">
        <f t="shared" si="21"/>
        <v>28.58</v>
      </c>
      <c r="O101" s="289">
        <f t="shared" si="22"/>
        <v>2476.355999999997</v>
      </c>
      <c r="P101" s="196"/>
      <c r="Q101" s="163">
        <v>2112</v>
      </c>
      <c r="R101" s="298">
        <f t="shared" si="20"/>
        <v>0</v>
      </c>
      <c r="S101" s="13"/>
      <c r="T101" s="13"/>
    </row>
    <row r="102" spans="1:20" s="54" customFormat="1" ht="15" customHeight="1">
      <c r="A102" s="13"/>
      <c r="B102" s="55">
        <v>2113</v>
      </c>
      <c r="C102" s="150">
        <f t="shared" si="14"/>
        <v>9.1228194164693684E-3</v>
      </c>
      <c r="D102" s="151">
        <f t="shared" si="15"/>
        <v>169794</v>
      </c>
      <c r="E102" s="151">
        <f t="shared" si="18"/>
        <v>1549</v>
      </c>
      <c r="F102" s="151">
        <v>934</v>
      </c>
      <c r="G102" s="152">
        <v>19.03</v>
      </c>
      <c r="H102" s="152">
        <v>9.5500000000000007</v>
      </c>
      <c r="I102" s="152">
        <f t="shared" si="23"/>
        <v>1693.669999999998</v>
      </c>
      <c r="J102" s="152">
        <f t="shared" si="23"/>
        <v>849.94999999999879</v>
      </c>
      <c r="K102" s="56">
        <f t="shared" si="17"/>
        <v>28.58</v>
      </c>
      <c r="L102" s="56">
        <f t="shared" si="19"/>
        <v>2515.0399999999968</v>
      </c>
      <c r="M102" s="196"/>
      <c r="N102" s="292">
        <f t="shared" si="21"/>
        <v>28.58</v>
      </c>
      <c r="O102" s="289">
        <f t="shared" si="22"/>
        <v>2504.935999999997</v>
      </c>
      <c r="P102" s="196"/>
      <c r="Q102" s="163">
        <v>2113</v>
      </c>
      <c r="R102" s="298">
        <f t="shared" si="20"/>
        <v>0</v>
      </c>
      <c r="S102" s="13"/>
      <c r="T102" s="13"/>
    </row>
    <row r="103" spans="1:20" s="54" customFormat="1" ht="15" customHeight="1">
      <c r="A103" s="13"/>
      <c r="B103" s="55">
        <v>2114</v>
      </c>
      <c r="C103" s="150">
        <f t="shared" si="14"/>
        <v>9.0403459726980384E-3</v>
      </c>
      <c r="D103" s="151">
        <f t="shared" si="15"/>
        <v>171343</v>
      </c>
      <c r="E103" s="151">
        <f t="shared" si="18"/>
        <v>1549</v>
      </c>
      <c r="F103" s="151">
        <v>934</v>
      </c>
      <c r="G103" s="152">
        <v>19.03</v>
      </c>
      <c r="H103" s="152">
        <v>9.5500000000000007</v>
      </c>
      <c r="I103" s="152">
        <f t="shared" si="23"/>
        <v>1712.699999999998</v>
      </c>
      <c r="J103" s="152">
        <f t="shared" si="23"/>
        <v>859.49999999999875</v>
      </c>
      <c r="K103" s="56">
        <f t="shared" si="17"/>
        <v>28.58</v>
      </c>
      <c r="L103" s="56">
        <f t="shared" si="19"/>
        <v>2543.6199999999967</v>
      </c>
      <c r="M103" s="196"/>
      <c r="N103" s="292">
        <f t="shared" si="21"/>
        <v>28.58</v>
      </c>
      <c r="O103" s="289">
        <f t="shared" si="22"/>
        <v>2533.5159999999969</v>
      </c>
      <c r="P103" s="196"/>
      <c r="Q103" s="163">
        <v>2114</v>
      </c>
      <c r="R103" s="298">
        <f t="shared" si="20"/>
        <v>0</v>
      </c>
      <c r="S103" s="13"/>
      <c r="T103" s="13"/>
    </row>
    <row r="104" spans="1:20" s="54" customFormat="1" ht="15" customHeight="1">
      <c r="A104" s="13"/>
      <c r="B104" s="55">
        <v>2115</v>
      </c>
      <c r="C104" s="150">
        <f t="shared" si="14"/>
        <v>8.9593503458806657E-3</v>
      </c>
      <c r="D104" s="151">
        <f t="shared" si="15"/>
        <v>172892</v>
      </c>
      <c r="E104" s="151">
        <f t="shared" si="18"/>
        <v>1549</v>
      </c>
      <c r="F104" s="151">
        <v>934</v>
      </c>
      <c r="G104" s="152">
        <v>19.03</v>
      </c>
      <c r="H104" s="152">
        <v>9.5500000000000007</v>
      </c>
      <c r="I104" s="152">
        <f t="shared" si="23"/>
        <v>1731.729999999998</v>
      </c>
      <c r="J104" s="152">
        <f t="shared" si="23"/>
        <v>869.0499999999987</v>
      </c>
      <c r="K104" s="56">
        <f t="shared" si="17"/>
        <v>28.58</v>
      </c>
      <c r="L104" s="56">
        <f t="shared" si="19"/>
        <v>2572.1999999999966</v>
      </c>
      <c r="M104" s="196"/>
      <c r="N104" s="292">
        <f t="shared" si="21"/>
        <v>28.58</v>
      </c>
      <c r="O104" s="289">
        <f t="shared" si="22"/>
        <v>2562.0959999999968</v>
      </c>
      <c r="P104" s="196"/>
      <c r="Q104" s="163">
        <v>2115</v>
      </c>
      <c r="R104" s="298">
        <f t="shared" si="20"/>
        <v>0</v>
      </c>
      <c r="S104" s="13"/>
      <c r="T104" s="13"/>
    </row>
    <row r="105" spans="1:20" s="54" customFormat="1" ht="15" customHeight="1">
      <c r="A105" s="13"/>
      <c r="B105" s="55">
        <v>2116</v>
      </c>
      <c r="C105" s="150">
        <f t="shared" si="14"/>
        <v>8.8797931678905768E-3</v>
      </c>
      <c r="D105" s="151">
        <f t="shared" si="15"/>
        <v>174441</v>
      </c>
      <c r="E105" s="151">
        <f t="shared" si="18"/>
        <v>1549</v>
      </c>
      <c r="F105" s="151">
        <v>934</v>
      </c>
      <c r="G105" s="152">
        <v>19.03</v>
      </c>
      <c r="H105" s="152">
        <v>9.5500000000000007</v>
      </c>
      <c r="I105" s="152">
        <f t="shared" si="23"/>
        <v>1750.7599999999979</v>
      </c>
      <c r="J105" s="152">
        <f t="shared" si="23"/>
        <v>878.59999999999866</v>
      </c>
      <c r="K105" s="56">
        <f t="shared" si="17"/>
        <v>28.58</v>
      </c>
      <c r="L105" s="56">
        <f t="shared" si="19"/>
        <v>2600.7799999999966</v>
      </c>
      <c r="M105" s="196"/>
      <c r="N105" s="292">
        <f t="shared" si="21"/>
        <v>28.58</v>
      </c>
      <c r="O105" s="289">
        <f t="shared" si="22"/>
        <v>2590.6759999999967</v>
      </c>
      <c r="P105" s="196"/>
      <c r="Q105" s="163">
        <v>2116</v>
      </c>
      <c r="R105" s="298">
        <f t="shared" si="20"/>
        <v>0</v>
      </c>
      <c r="S105" s="13"/>
      <c r="T105" s="13"/>
    </row>
    <row r="106" spans="1:20" s="54" customFormat="1" ht="15" customHeight="1">
      <c r="A106" s="13"/>
      <c r="B106" s="55">
        <v>2117</v>
      </c>
      <c r="C106" s="150">
        <f t="shared" si="14"/>
        <v>8.8016364566168535E-3</v>
      </c>
      <c r="D106" s="151">
        <f t="shared" si="15"/>
        <v>175990</v>
      </c>
      <c r="E106" s="151">
        <f t="shared" si="18"/>
        <v>1549</v>
      </c>
      <c r="F106" s="151">
        <v>934</v>
      </c>
      <c r="G106" s="152">
        <v>19.03</v>
      </c>
      <c r="H106" s="152">
        <v>9.5500000000000007</v>
      </c>
      <c r="I106" s="152">
        <f t="shared" si="23"/>
        <v>1769.7899999999979</v>
      </c>
      <c r="J106" s="152">
        <f t="shared" si="23"/>
        <v>888.14999999999861</v>
      </c>
      <c r="K106" s="56">
        <f t="shared" si="17"/>
        <v>28.58</v>
      </c>
      <c r="L106" s="56">
        <f t="shared" si="19"/>
        <v>2629.3599999999965</v>
      </c>
      <c r="M106" s="196"/>
      <c r="N106" s="292">
        <f t="shared" si="21"/>
        <v>28.58</v>
      </c>
      <c r="O106" s="289">
        <f t="shared" si="22"/>
        <v>2619.2559999999967</v>
      </c>
      <c r="P106" s="196"/>
      <c r="Q106" s="163">
        <v>2117</v>
      </c>
      <c r="R106" s="298">
        <f t="shared" si="20"/>
        <v>0</v>
      </c>
      <c r="S106" s="13"/>
      <c r="T106" s="13"/>
    </row>
    <row r="107" spans="1:20" s="54" customFormat="1" ht="15" customHeight="1">
      <c r="A107" s="13"/>
      <c r="B107" s="55">
        <v>2118</v>
      </c>
      <c r="C107" s="150">
        <f t="shared" si="14"/>
        <v>8.7248435555004819E-3</v>
      </c>
      <c r="D107" s="151">
        <f t="shared" si="15"/>
        <v>177539</v>
      </c>
      <c r="E107" s="151">
        <f t="shared" si="18"/>
        <v>1549</v>
      </c>
      <c r="F107" s="151">
        <v>934</v>
      </c>
      <c r="G107" s="152">
        <v>19.03</v>
      </c>
      <c r="H107" s="152">
        <v>9.5500000000000007</v>
      </c>
      <c r="I107" s="152">
        <f t="shared" si="23"/>
        <v>1788.8199999999979</v>
      </c>
      <c r="J107" s="152">
        <f t="shared" si="23"/>
        <v>897.69999999999857</v>
      </c>
      <c r="K107" s="56">
        <f t="shared" si="17"/>
        <v>28.58</v>
      </c>
      <c r="L107" s="56">
        <f t="shared" si="19"/>
        <v>2657.9399999999964</v>
      </c>
      <c r="M107" s="196"/>
      <c r="N107" s="292">
        <f t="shared" si="21"/>
        <v>28.58</v>
      </c>
      <c r="O107" s="289">
        <f t="shared" si="22"/>
        <v>2647.8359999999966</v>
      </c>
      <c r="P107" s="196"/>
      <c r="Q107" s="163">
        <v>2118</v>
      </c>
      <c r="R107" s="298">
        <f t="shared" si="20"/>
        <v>0</v>
      </c>
      <c r="S107" s="13"/>
      <c r="T107" s="13"/>
    </row>
    <row r="108" spans="1:20" s="54" customFormat="1" ht="15" customHeight="1">
      <c r="A108" s="13"/>
      <c r="B108" s="55">
        <v>2119</v>
      </c>
      <c r="C108" s="150">
        <f t="shared" si="14"/>
        <v>8.6493790762083439E-3</v>
      </c>
      <c r="D108" s="151">
        <f t="shared" si="15"/>
        <v>179088</v>
      </c>
      <c r="E108" s="151">
        <f t="shared" si="18"/>
        <v>1549</v>
      </c>
      <c r="F108" s="151">
        <v>934</v>
      </c>
      <c r="G108" s="152">
        <v>19.03</v>
      </c>
      <c r="H108" s="152">
        <v>9.5500000000000007</v>
      </c>
      <c r="I108" s="152">
        <f t="shared" si="23"/>
        <v>1807.8499999999979</v>
      </c>
      <c r="J108" s="152">
        <f t="shared" si="23"/>
        <v>907.24999999999852</v>
      </c>
      <c r="K108" s="56">
        <f t="shared" si="17"/>
        <v>28.58</v>
      </c>
      <c r="L108" s="56">
        <f t="shared" si="19"/>
        <v>2686.5199999999963</v>
      </c>
      <c r="M108" s="196"/>
      <c r="N108" s="292">
        <f t="shared" si="21"/>
        <v>28.58</v>
      </c>
      <c r="O108" s="289">
        <f t="shared" si="22"/>
        <v>2676.4159999999965</v>
      </c>
      <c r="P108" s="196"/>
      <c r="Q108" s="163">
        <v>2119</v>
      </c>
      <c r="R108" s="298">
        <f t="shared" si="20"/>
        <v>0</v>
      </c>
      <c r="S108" s="13"/>
      <c r="T108" s="13"/>
    </row>
    <row r="109" spans="1:20" s="54" customFormat="1" ht="15" customHeight="1">
      <c r="A109" s="13"/>
      <c r="B109" s="55">
        <v>2120</v>
      </c>
      <c r="C109" s="150">
        <f t="shared" si="14"/>
        <v>8.575208844256714E-3</v>
      </c>
      <c r="D109" s="151">
        <f t="shared" si="15"/>
        <v>180637</v>
      </c>
      <c r="E109" s="151">
        <f t="shared" si="18"/>
        <v>1549</v>
      </c>
      <c r="F109" s="151">
        <v>934</v>
      </c>
      <c r="G109" s="152">
        <v>19.03</v>
      </c>
      <c r="H109" s="152">
        <v>9.5500000000000007</v>
      </c>
      <c r="I109" s="152">
        <f t="shared" si="23"/>
        <v>1826.8799999999978</v>
      </c>
      <c r="J109" s="152">
        <f t="shared" si="23"/>
        <v>916.79999999999848</v>
      </c>
      <c r="K109" s="56">
        <f t="shared" si="17"/>
        <v>28.58</v>
      </c>
      <c r="L109" s="56">
        <f t="shared" si="19"/>
        <v>2715.0999999999963</v>
      </c>
      <c r="M109" s="196"/>
      <c r="N109" s="292">
        <f t="shared" si="21"/>
        <v>28.58</v>
      </c>
      <c r="O109" s="289">
        <f t="shared" si="22"/>
        <v>2704.9959999999965</v>
      </c>
      <c r="P109" s="196"/>
      <c r="Q109" s="163">
        <v>2120</v>
      </c>
      <c r="R109" s="298">
        <f t="shared" si="20"/>
        <v>0</v>
      </c>
      <c r="S109" s="13"/>
      <c r="T109" s="13"/>
    </row>
    <row r="110" spans="1:20" s="54" customFormat="1" ht="15" customHeight="1">
      <c r="A110" s="13"/>
      <c r="B110" s="55">
        <v>2121</v>
      </c>
      <c r="C110" s="150">
        <f t="shared" si="14"/>
        <v>8.5022998474086914E-3</v>
      </c>
      <c r="D110" s="151">
        <f t="shared" si="15"/>
        <v>182186</v>
      </c>
      <c r="E110" s="151">
        <f t="shared" si="18"/>
        <v>1549</v>
      </c>
      <c r="F110" s="151">
        <v>934</v>
      </c>
      <c r="G110" s="152">
        <v>19.03</v>
      </c>
      <c r="H110" s="152">
        <v>9.5500000000000007</v>
      </c>
      <c r="I110" s="152">
        <f t="shared" ref="I110:J124" si="24">+G110+I109</f>
        <v>1845.9099999999978</v>
      </c>
      <c r="J110" s="152">
        <f t="shared" si="24"/>
        <v>926.34999999999843</v>
      </c>
      <c r="K110" s="56">
        <f t="shared" si="17"/>
        <v>28.58</v>
      </c>
      <c r="L110" s="56">
        <f t="shared" si="19"/>
        <v>2743.6799999999962</v>
      </c>
      <c r="M110" s="196"/>
      <c r="N110" s="292">
        <f t="shared" si="21"/>
        <v>28.58</v>
      </c>
      <c r="O110" s="289">
        <f t="shared" si="22"/>
        <v>2733.5759999999964</v>
      </c>
      <c r="P110" s="196"/>
      <c r="Q110" s="163">
        <v>2121</v>
      </c>
      <c r="R110" s="298">
        <f t="shared" si="20"/>
        <v>0</v>
      </c>
      <c r="S110" s="13"/>
      <c r="T110" s="13"/>
    </row>
    <row r="111" spans="1:20" s="54" customFormat="1" ht="15" customHeight="1">
      <c r="A111" s="13"/>
      <c r="B111" s="55">
        <v>2122</v>
      </c>
      <c r="C111" s="150">
        <f t="shared" si="14"/>
        <v>8.4306201866819058E-3</v>
      </c>
      <c r="D111" s="151">
        <f t="shared" si="15"/>
        <v>183735</v>
      </c>
      <c r="E111" s="151">
        <f t="shared" si="18"/>
        <v>1549</v>
      </c>
      <c r="F111" s="151">
        <v>934</v>
      </c>
      <c r="G111" s="152">
        <v>19.03</v>
      </c>
      <c r="H111" s="152">
        <v>9.5500000000000007</v>
      </c>
      <c r="I111" s="152">
        <f t="shared" si="24"/>
        <v>1864.9399999999978</v>
      </c>
      <c r="J111" s="152">
        <f t="shared" si="24"/>
        <v>935.89999999999839</v>
      </c>
      <c r="K111" s="56">
        <f t="shared" si="17"/>
        <v>28.58</v>
      </c>
      <c r="L111" s="56">
        <f t="shared" si="19"/>
        <v>2772.2599999999961</v>
      </c>
      <c r="M111" s="196"/>
      <c r="N111" s="292">
        <f t="shared" si="21"/>
        <v>28.58</v>
      </c>
      <c r="O111" s="289">
        <f t="shared" si="22"/>
        <v>2762.1559999999963</v>
      </c>
      <c r="P111" s="196"/>
      <c r="Q111" s="163">
        <v>2122</v>
      </c>
      <c r="R111" s="298">
        <f t="shared" si="20"/>
        <v>0</v>
      </c>
      <c r="S111" s="13"/>
      <c r="T111" s="13"/>
    </row>
    <row r="112" spans="1:20" s="54" customFormat="1" ht="15" customHeight="1">
      <c r="A112" s="13"/>
      <c r="B112" s="55">
        <v>2123</v>
      </c>
      <c r="C112" s="150">
        <f t="shared" si="14"/>
        <v>8.3601390298136923E-3</v>
      </c>
      <c r="D112" s="151">
        <f t="shared" si="15"/>
        <v>185284</v>
      </c>
      <c r="E112" s="151">
        <f t="shared" si="18"/>
        <v>1549</v>
      </c>
      <c r="F112" s="151">
        <v>934</v>
      </c>
      <c r="G112" s="152">
        <v>19.03</v>
      </c>
      <c r="H112" s="152">
        <v>9.5500000000000007</v>
      </c>
      <c r="I112" s="152">
        <f t="shared" si="24"/>
        <v>1883.9699999999978</v>
      </c>
      <c r="J112" s="152">
        <f t="shared" si="24"/>
        <v>945.44999999999834</v>
      </c>
      <c r="K112" s="56">
        <f t="shared" si="17"/>
        <v>28.58</v>
      </c>
      <c r="L112" s="56">
        <f t="shared" si="19"/>
        <v>2800.8399999999961</v>
      </c>
      <c r="M112" s="196"/>
      <c r="N112" s="292">
        <f t="shared" si="21"/>
        <v>28.58</v>
      </c>
      <c r="O112" s="289">
        <f t="shared" si="22"/>
        <v>2790.7359999999962</v>
      </c>
      <c r="P112" s="196"/>
      <c r="Q112" s="163">
        <v>2123</v>
      </c>
      <c r="R112" s="298">
        <f t="shared" si="20"/>
        <v>0</v>
      </c>
      <c r="S112" s="13"/>
      <c r="T112" s="13"/>
    </row>
    <row r="113" spans="1:20" s="54" customFormat="1" ht="15" customHeight="1">
      <c r="A113" s="13"/>
      <c r="B113" s="55">
        <v>2124</v>
      </c>
      <c r="C113" s="150">
        <f t="shared" si="14"/>
        <v>8.2908265670411548E-3</v>
      </c>
      <c r="D113" s="151">
        <f t="shared" si="15"/>
        <v>186833</v>
      </c>
      <c r="E113" s="151">
        <f t="shared" si="18"/>
        <v>1549</v>
      </c>
      <c r="F113" s="151">
        <v>934</v>
      </c>
      <c r="G113" s="152">
        <v>19.03</v>
      </c>
      <c r="H113" s="152">
        <v>9.5500000000000007</v>
      </c>
      <c r="I113" s="152">
        <f t="shared" si="24"/>
        <v>1902.9999999999977</v>
      </c>
      <c r="J113" s="152">
        <f t="shared" si="24"/>
        <v>954.99999999999829</v>
      </c>
      <c r="K113" s="56">
        <f t="shared" si="17"/>
        <v>28.58</v>
      </c>
      <c r="L113" s="56">
        <f t="shared" si="19"/>
        <v>2829.419999999996</v>
      </c>
      <c r="M113" s="196"/>
      <c r="N113" s="292">
        <f t="shared" si="21"/>
        <v>28.58</v>
      </c>
      <c r="O113" s="289">
        <f t="shared" si="22"/>
        <v>2819.3159999999962</v>
      </c>
      <c r="P113" s="196"/>
      <c r="Q113" s="163">
        <v>2124</v>
      </c>
      <c r="R113" s="298">
        <f t="shared" si="20"/>
        <v>0</v>
      </c>
      <c r="S113" s="13"/>
      <c r="T113" s="13"/>
    </row>
    <row r="114" spans="1:20" s="54" customFormat="1" ht="15" customHeight="1">
      <c r="A114" s="13"/>
      <c r="B114" s="55">
        <v>2125</v>
      </c>
      <c r="C114" s="150">
        <f t="shared" si="14"/>
        <v>8.2226539690628611E-3</v>
      </c>
      <c r="D114" s="151">
        <f t="shared" si="15"/>
        <v>188382</v>
      </c>
      <c r="E114" s="151">
        <f t="shared" si="18"/>
        <v>1549</v>
      </c>
      <c r="F114" s="151">
        <v>934</v>
      </c>
      <c r="G114" s="152">
        <v>19.03</v>
      </c>
      <c r="H114" s="152">
        <v>9.5500000000000007</v>
      </c>
      <c r="I114" s="152">
        <f t="shared" si="24"/>
        <v>1922.0299999999977</v>
      </c>
      <c r="J114" s="152">
        <f t="shared" si="24"/>
        <v>964.54999999999825</v>
      </c>
      <c r="K114" s="56">
        <f t="shared" si="17"/>
        <v>28.58</v>
      </c>
      <c r="L114" s="56">
        <f t="shared" si="19"/>
        <v>2857.9999999999959</v>
      </c>
      <c r="M114" s="196"/>
      <c r="N114" s="292">
        <f t="shared" si="21"/>
        <v>28.58</v>
      </c>
      <c r="O114" s="289">
        <f t="shared" si="22"/>
        <v>2847.8959999999961</v>
      </c>
      <c r="P114" s="196"/>
      <c r="Q114" s="163">
        <v>2125</v>
      </c>
      <c r="R114" s="298">
        <f t="shared" si="20"/>
        <v>0</v>
      </c>
      <c r="S114" s="13"/>
      <c r="T114" s="13"/>
    </row>
    <row r="115" spans="1:20" s="54" customFormat="1" ht="15" customHeight="1">
      <c r="A115" s="13"/>
      <c r="B115" s="55">
        <v>2126</v>
      </c>
      <c r="C115" s="150">
        <f t="shared" si="14"/>
        <v>8.1555933470576162E-3</v>
      </c>
      <c r="D115" s="151">
        <f t="shared" si="15"/>
        <v>189931</v>
      </c>
      <c r="E115" s="151">
        <f t="shared" si="18"/>
        <v>1549</v>
      </c>
      <c r="F115" s="151">
        <v>934</v>
      </c>
      <c r="G115" s="152">
        <v>19.03</v>
      </c>
      <c r="H115" s="152">
        <v>9.5500000000000007</v>
      </c>
      <c r="I115" s="152">
        <f t="shared" si="24"/>
        <v>1941.0599999999977</v>
      </c>
      <c r="J115" s="152">
        <f t="shared" si="24"/>
        <v>974.0999999999982</v>
      </c>
      <c r="K115" s="56">
        <f t="shared" si="17"/>
        <v>28.58</v>
      </c>
      <c r="L115" s="56">
        <f t="shared" si="19"/>
        <v>2886.5799999999958</v>
      </c>
      <c r="M115" s="196"/>
      <c r="N115" s="292">
        <f t="shared" si="21"/>
        <v>28.58</v>
      </c>
      <c r="O115" s="289">
        <f t="shared" si="22"/>
        <v>2876.475999999996</v>
      </c>
      <c r="P115" s="196"/>
      <c r="Q115" s="163">
        <v>2126</v>
      </c>
      <c r="R115" s="298">
        <f t="shared" si="20"/>
        <v>0</v>
      </c>
      <c r="S115" s="13"/>
      <c r="T115" s="13"/>
    </row>
    <row r="116" spans="1:20" s="54" customFormat="1" ht="15" customHeight="1">
      <c r="A116" s="13"/>
      <c r="B116" s="55">
        <v>2127</v>
      </c>
      <c r="C116" s="150">
        <f t="shared" si="14"/>
        <v>8.0896177146438271E-3</v>
      </c>
      <c r="D116" s="151">
        <f t="shared" si="15"/>
        <v>191480</v>
      </c>
      <c r="E116" s="151">
        <f t="shared" si="18"/>
        <v>1549</v>
      </c>
      <c r="F116" s="151">
        <v>934</v>
      </c>
      <c r="G116" s="152">
        <v>19.03</v>
      </c>
      <c r="H116" s="152">
        <v>9.5500000000000007</v>
      </c>
      <c r="I116" s="152">
        <f t="shared" si="24"/>
        <v>1960.0899999999976</v>
      </c>
      <c r="J116" s="152">
        <f t="shared" si="24"/>
        <v>983.64999999999816</v>
      </c>
      <c r="K116" s="56">
        <f t="shared" si="17"/>
        <v>28.58</v>
      </c>
      <c r="L116" s="56">
        <f t="shared" si="19"/>
        <v>2915.1599999999958</v>
      </c>
      <c r="M116" s="196"/>
      <c r="N116" s="292">
        <f t="shared" si="21"/>
        <v>28.58</v>
      </c>
      <c r="O116" s="289">
        <f t="shared" si="22"/>
        <v>2905.0559999999959</v>
      </c>
      <c r="P116" s="196"/>
      <c r="Q116" s="163">
        <v>2127</v>
      </c>
      <c r="R116" s="298">
        <f t="shared" si="20"/>
        <v>0</v>
      </c>
      <c r="S116" s="13"/>
      <c r="T116" s="13"/>
    </row>
    <row r="117" spans="1:20" s="54" customFormat="1" ht="15" customHeight="1">
      <c r="A117" s="13"/>
      <c r="B117" s="55">
        <v>2128</v>
      </c>
      <c r="C117" s="150">
        <f t="shared" si="14"/>
        <v>8.0247009516704743E-3</v>
      </c>
      <c r="D117" s="151">
        <f t="shared" si="15"/>
        <v>193029</v>
      </c>
      <c r="E117" s="151">
        <f t="shared" si="18"/>
        <v>1549</v>
      </c>
      <c r="F117" s="151">
        <v>934</v>
      </c>
      <c r="G117" s="152">
        <v>19.03</v>
      </c>
      <c r="H117" s="152">
        <v>9.5500000000000007</v>
      </c>
      <c r="I117" s="152">
        <f t="shared" si="24"/>
        <v>1979.1199999999976</v>
      </c>
      <c r="J117" s="152">
        <f t="shared" si="24"/>
        <v>993.19999999999811</v>
      </c>
      <c r="K117" s="56">
        <f t="shared" si="17"/>
        <v>28.58</v>
      </c>
      <c r="L117" s="56">
        <f t="shared" si="19"/>
        <v>2943.7399999999957</v>
      </c>
      <c r="M117" s="196"/>
      <c r="N117" s="292">
        <f t="shared" si="21"/>
        <v>28.58</v>
      </c>
      <c r="O117" s="289">
        <f t="shared" si="22"/>
        <v>2933.6359999999959</v>
      </c>
      <c r="P117" s="196"/>
      <c r="Q117" s="163">
        <v>2128</v>
      </c>
      <c r="R117" s="298">
        <f t="shared" si="20"/>
        <v>0</v>
      </c>
      <c r="S117" s="13"/>
      <c r="T117" s="13"/>
    </row>
    <row r="118" spans="1:20" s="54" customFormat="1" ht="15" customHeight="1">
      <c r="A118" s="13"/>
      <c r="B118" s="55">
        <v>2129</v>
      </c>
      <c r="C118" s="150">
        <f t="shared" si="14"/>
        <v>7.9608177697375864E-3</v>
      </c>
      <c r="D118" s="151">
        <f t="shared" si="15"/>
        <v>194578</v>
      </c>
      <c r="E118" s="151">
        <f t="shared" si="18"/>
        <v>1549</v>
      </c>
      <c r="F118" s="151">
        <v>934</v>
      </c>
      <c r="G118" s="152">
        <v>19.03</v>
      </c>
      <c r="H118" s="152">
        <v>9.5500000000000007</v>
      </c>
      <c r="I118" s="152">
        <f t="shared" si="24"/>
        <v>1998.1499999999976</v>
      </c>
      <c r="J118" s="152">
        <f t="shared" si="24"/>
        <v>1002.7499999999981</v>
      </c>
      <c r="K118" s="56">
        <f t="shared" si="17"/>
        <v>28.58</v>
      </c>
      <c r="L118" s="56">
        <f t="shared" si="19"/>
        <v>2972.3199999999956</v>
      </c>
      <c r="M118" s="196"/>
      <c r="N118" s="292">
        <f t="shared" si="21"/>
        <v>28.58</v>
      </c>
      <c r="O118" s="289">
        <f t="shared" si="22"/>
        <v>2962.2159999999958</v>
      </c>
      <c r="P118" s="196"/>
      <c r="Q118" s="163">
        <v>2129</v>
      </c>
      <c r="R118" s="298">
        <f t="shared" si="20"/>
        <v>0</v>
      </c>
      <c r="S118" s="13"/>
      <c r="T118" s="13"/>
    </row>
    <row r="119" spans="1:20" s="54" customFormat="1" ht="15" customHeight="1">
      <c r="A119" s="13"/>
      <c r="B119" s="55">
        <v>2130</v>
      </c>
      <c r="C119" s="150">
        <f t="shared" si="14"/>
        <v>7.8979436793506254E-3</v>
      </c>
      <c r="D119" s="151">
        <f t="shared" si="15"/>
        <v>196127</v>
      </c>
      <c r="E119" s="151">
        <f t="shared" si="18"/>
        <v>1549</v>
      </c>
      <c r="F119" s="151">
        <v>934</v>
      </c>
      <c r="G119" s="152">
        <v>19.03</v>
      </c>
      <c r="H119" s="152">
        <v>9.5500000000000007</v>
      </c>
      <c r="I119" s="152">
        <f t="shared" si="24"/>
        <v>2017.1799999999976</v>
      </c>
      <c r="J119" s="152">
        <f t="shared" si="24"/>
        <v>1012.299999999998</v>
      </c>
      <c r="K119" s="56">
        <f t="shared" si="17"/>
        <v>28.58</v>
      </c>
      <c r="L119" s="56">
        <f t="shared" si="19"/>
        <v>3000.8999999999955</v>
      </c>
      <c r="M119" s="196"/>
      <c r="N119" s="292">
        <f t="shared" si="21"/>
        <v>28.58</v>
      </c>
      <c r="O119" s="289">
        <f t="shared" si="22"/>
        <v>2990.7959999999957</v>
      </c>
      <c r="P119" s="196"/>
      <c r="Q119" s="163">
        <v>2130</v>
      </c>
      <c r="R119" s="298">
        <f t="shared" si="20"/>
        <v>0</v>
      </c>
      <c r="S119" s="13"/>
      <c r="T119" s="13"/>
    </row>
    <row r="120" spans="1:20" s="54" customFormat="1" ht="15" customHeight="1">
      <c r="A120" s="13"/>
      <c r="B120" s="55">
        <v>2131</v>
      </c>
      <c r="C120" s="150">
        <f t="shared" si="14"/>
        <v>7.8360549586191548E-3</v>
      </c>
      <c r="D120" s="151">
        <f t="shared" si="15"/>
        <v>197676</v>
      </c>
      <c r="E120" s="151">
        <f t="shared" si="18"/>
        <v>1549</v>
      </c>
      <c r="F120" s="151">
        <v>934</v>
      </c>
      <c r="G120" s="152">
        <v>19.03</v>
      </c>
      <c r="H120" s="152">
        <v>9.5500000000000007</v>
      </c>
      <c r="I120" s="152">
        <f t="shared" si="24"/>
        <v>2036.2099999999975</v>
      </c>
      <c r="J120" s="152">
        <f t="shared" si="24"/>
        <v>1021.849999999998</v>
      </c>
      <c r="K120" s="56">
        <f t="shared" si="17"/>
        <v>28.58</v>
      </c>
      <c r="L120" s="56">
        <f t="shared" si="19"/>
        <v>3029.4799999999955</v>
      </c>
      <c r="M120" s="196"/>
      <c r="N120" s="292">
        <f t="shared" si="21"/>
        <v>28.58</v>
      </c>
      <c r="O120" s="289">
        <f t="shared" si="22"/>
        <v>3019.3759999999957</v>
      </c>
      <c r="P120" s="196"/>
      <c r="Q120" s="163">
        <v>2131</v>
      </c>
      <c r="R120" s="298">
        <f t="shared" si="20"/>
        <v>0</v>
      </c>
      <c r="S120" s="13"/>
      <c r="T120" s="13"/>
    </row>
    <row r="121" spans="1:20" s="54" customFormat="1" ht="15" customHeight="1">
      <c r="A121" s="13"/>
      <c r="B121" s="55">
        <v>2132</v>
      </c>
      <c r="C121" s="150">
        <f t="shared" si="14"/>
        <v>7.7751286234157358E-3</v>
      </c>
      <c r="D121" s="151">
        <f t="shared" si="15"/>
        <v>199225</v>
      </c>
      <c r="E121" s="151">
        <f t="shared" si="18"/>
        <v>1549</v>
      </c>
      <c r="F121" s="151">
        <v>934</v>
      </c>
      <c r="G121" s="152">
        <v>19.03</v>
      </c>
      <c r="H121" s="152">
        <v>9.5500000000000007</v>
      </c>
      <c r="I121" s="152">
        <f t="shared" si="24"/>
        <v>2055.2399999999975</v>
      </c>
      <c r="J121" s="152">
        <f t="shared" si="24"/>
        <v>1031.399999999998</v>
      </c>
      <c r="K121" s="56">
        <f t="shared" si="17"/>
        <v>28.58</v>
      </c>
      <c r="L121" s="56">
        <f t="shared" si="19"/>
        <v>3058.0599999999954</v>
      </c>
      <c r="M121" s="196"/>
      <c r="N121" s="292">
        <f t="shared" si="21"/>
        <v>28.58</v>
      </c>
      <c r="O121" s="289">
        <f t="shared" si="22"/>
        <v>3047.9559999999956</v>
      </c>
      <c r="P121" s="196"/>
      <c r="Q121" s="163">
        <v>2132</v>
      </c>
      <c r="R121" s="298">
        <f t="shared" si="20"/>
        <v>0</v>
      </c>
      <c r="S121" s="13"/>
      <c r="T121" s="13"/>
    </row>
    <row r="122" spans="1:20" s="54" customFormat="1" ht="15" customHeight="1">
      <c r="A122" s="13"/>
      <c r="B122" s="55">
        <v>2133</v>
      </c>
      <c r="C122" s="150">
        <f t="shared" si="14"/>
        <v>7.7151423989161947E-3</v>
      </c>
      <c r="D122" s="151">
        <f t="shared" si="15"/>
        <v>200774</v>
      </c>
      <c r="E122" s="151">
        <f t="shared" si="18"/>
        <v>1549</v>
      </c>
      <c r="F122" s="151">
        <v>934</v>
      </c>
      <c r="G122" s="152">
        <v>19.03</v>
      </c>
      <c r="H122" s="152">
        <v>9.5500000000000007</v>
      </c>
      <c r="I122" s="152">
        <f t="shared" si="24"/>
        <v>2074.2699999999977</v>
      </c>
      <c r="J122" s="152">
        <f t="shared" si="24"/>
        <v>1040.949999999998</v>
      </c>
      <c r="K122" s="56">
        <f t="shared" si="17"/>
        <v>28.58</v>
      </c>
      <c r="L122" s="56">
        <f t="shared" si="19"/>
        <v>3086.6399999999953</v>
      </c>
      <c r="M122" s="196"/>
      <c r="N122" s="292">
        <f t="shared" si="21"/>
        <v>28.58</v>
      </c>
      <c r="O122" s="289">
        <f t="shared" si="22"/>
        <v>3076.5359999999955</v>
      </c>
      <c r="P122" s="196"/>
      <c r="Q122" s="163">
        <v>2133</v>
      </c>
      <c r="R122" s="298">
        <f t="shared" si="20"/>
        <v>0</v>
      </c>
      <c r="S122" s="13"/>
      <c r="T122" s="13"/>
    </row>
    <row r="123" spans="1:20" s="54" customFormat="1" ht="15" customHeight="1">
      <c r="A123" s="13"/>
      <c r="B123" s="55">
        <v>2134</v>
      </c>
      <c r="C123" s="150">
        <f t="shared" si="14"/>
        <v>7.6560746924472251E-3</v>
      </c>
      <c r="D123" s="151">
        <f t="shared" si="15"/>
        <v>202323</v>
      </c>
      <c r="E123" s="151">
        <f t="shared" si="18"/>
        <v>1549</v>
      </c>
      <c r="F123" s="151">
        <v>934</v>
      </c>
      <c r="G123" s="152">
        <v>19.03</v>
      </c>
      <c r="H123" s="152">
        <v>9.5500000000000007</v>
      </c>
      <c r="I123" s="152">
        <f t="shared" si="24"/>
        <v>2093.2999999999979</v>
      </c>
      <c r="J123" s="152">
        <f t="shared" si="24"/>
        <v>1050.499999999998</v>
      </c>
      <c r="K123" s="56">
        <f t="shared" si="17"/>
        <v>28.58</v>
      </c>
      <c r="L123" s="56">
        <f t="shared" si="19"/>
        <v>3115.2199999999953</v>
      </c>
      <c r="M123" s="196"/>
      <c r="N123" s="292">
        <f t="shared" si="21"/>
        <v>28.58</v>
      </c>
      <c r="O123" s="289">
        <f t="shared" si="22"/>
        <v>3105.1159999999954</v>
      </c>
      <c r="P123" s="196"/>
      <c r="Q123" s="163">
        <v>2134</v>
      </c>
      <c r="R123" s="298">
        <f t="shared" si="20"/>
        <v>0</v>
      </c>
      <c r="S123" s="13"/>
      <c r="T123" s="13"/>
    </row>
    <row r="124" spans="1:20" s="54" customFormat="1" ht="15" customHeight="1" thickBot="1">
      <c r="A124" s="13"/>
      <c r="B124" s="55">
        <v>2135</v>
      </c>
      <c r="C124" s="150" t="e">
        <f>(#REF!-D124)/D124</f>
        <v>#REF!</v>
      </c>
      <c r="D124" s="151">
        <f t="shared" si="15"/>
        <v>203872</v>
      </c>
      <c r="E124" s="151">
        <f t="shared" si="18"/>
        <v>1549</v>
      </c>
      <c r="F124" s="151">
        <v>934</v>
      </c>
      <c r="G124" s="152">
        <v>19.03</v>
      </c>
      <c r="H124" s="152">
        <v>9.5500000000000007</v>
      </c>
      <c r="I124" s="152">
        <f t="shared" si="24"/>
        <v>2112.3299999999981</v>
      </c>
      <c r="J124" s="152">
        <f t="shared" si="24"/>
        <v>1060.0499999999979</v>
      </c>
      <c r="K124" s="56">
        <f t="shared" si="17"/>
        <v>28.58</v>
      </c>
      <c r="L124" s="56">
        <f t="shared" si="19"/>
        <v>3143.7999999999952</v>
      </c>
      <c r="M124" s="196"/>
      <c r="N124" s="293">
        <f>K124</f>
        <v>28.58</v>
      </c>
      <c r="O124" s="290">
        <f>N124+O123</f>
        <v>3133.6959999999954</v>
      </c>
      <c r="P124" s="196"/>
      <c r="Q124" s="205">
        <v>2135</v>
      </c>
      <c r="R124" s="198"/>
      <c r="S124" s="13"/>
      <c r="T124" s="13"/>
    </row>
  </sheetData>
  <mergeCells count="4">
    <mergeCell ref="Q11:R11"/>
    <mergeCell ref="B11:L11"/>
    <mergeCell ref="N12:O12"/>
    <mergeCell ref="N11:O1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3D49D-14F9-47E1-9D92-BFE90DDA9F23}">
  <sheetPr codeName="Sheet9">
    <tabColor theme="0" tint="-0.34998626667073579"/>
    <pageSetUpPr fitToPage="1"/>
  </sheetPr>
  <dimension ref="A2:AO28"/>
  <sheetViews>
    <sheetView showGridLines="0" zoomScaleNormal="100" workbookViewId="0">
      <pane ySplit="4" topLeftCell="A6" activePane="bottomLeft" state="frozen"/>
      <selection pane="bottomLeft" activeCell="Z30" sqref="Z30"/>
    </sheetView>
  </sheetViews>
  <sheetFormatPr defaultColWidth="9.109375" defaultRowHeight="12"/>
  <cols>
    <col min="1" max="1" width="21.109375" style="141" customWidth="1"/>
    <col min="2" max="2" width="8" style="141" bestFit="1" customWidth="1"/>
    <col min="3" max="3" width="38.109375" style="141" customWidth="1"/>
    <col min="4" max="4" width="46.109375" style="141" customWidth="1"/>
    <col min="5" max="12" width="12.88671875" style="141" customWidth="1"/>
    <col min="13" max="16" width="20.21875" style="141" customWidth="1"/>
    <col min="17" max="17" width="16.88671875" style="141" customWidth="1"/>
    <col min="18" max="19" width="13" style="141" customWidth="1"/>
    <col min="20" max="23" width="12.88671875" style="141" customWidth="1"/>
    <col min="24" max="24" width="15.5546875" style="141" customWidth="1"/>
    <col min="25" max="29" width="17.109375" style="141" customWidth="1"/>
    <col min="30" max="31" width="18.88671875" style="141" customWidth="1"/>
    <col min="32" max="32" width="18.5546875" style="141" customWidth="1"/>
    <col min="33" max="34" width="12.88671875" style="141" customWidth="1"/>
    <col min="35" max="36" width="15.21875" style="141" customWidth="1"/>
    <col min="37" max="37" width="20.44140625" style="141" customWidth="1"/>
    <col min="38" max="38" width="12.88671875" style="141" customWidth="1"/>
    <col min="39" max="39" width="16.109375" style="141" customWidth="1"/>
    <col min="40" max="40" width="68.88671875" style="141" customWidth="1"/>
    <col min="41" max="41" width="76.109375" style="141" customWidth="1"/>
    <col min="42" max="16384" width="9.109375" style="141"/>
  </cols>
  <sheetData>
    <row r="2" spans="1:41" ht="12.6" thickBot="1"/>
    <row r="3" spans="1:41" ht="36.6" thickBot="1">
      <c r="B3" s="665" t="s">
        <v>31</v>
      </c>
      <c r="C3" s="666"/>
      <c r="D3" s="667"/>
      <c r="E3" s="673" t="s">
        <v>75</v>
      </c>
      <c r="F3" s="667"/>
      <c r="G3" s="673" t="s">
        <v>2</v>
      </c>
      <c r="H3" s="667"/>
      <c r="I3" s="673" t="s">
        <v>51</v>
      </c>
      <c r="J3" s="667"/>
      <c r="K3" s="673" t="s">
        <v>93</v>
      </c>
      <c r="L3" s="666"/>
      <c r="M3" s="673" t="s">
        <v>52</v>
      </c>
      <c r="N3" s="666"/>
      <c r="O3" s="666"/>
      <c r="P3" s="666"/>
      <c r="Q3" s="666"/>
      <c r="R3" s="666"/>
      <c r="S3" s="666"/>
      <c r="T3" s="666"/>
      <c r="U3" s="666"/>
      <c r="V3" s="666"/>
      <c r="W3" s="666"/>
      <c r="X3" s="667"/>
      <c r="Y3" s="673" t="s">
        <v>141</v>
      </c>
      <c r="Z3" s="667"/>
      <c r="AA3" s="423" t="s">
        <v>144</v>
      </c>
      <c r="AB3" s="673" t="s">
        <v>143</v>
      </c>
      <c r="AC3" s="666"/>
      <c r="AD3" s="666"/>
      <c r="AE3" s="666"/>
      <c r="AF3" s="667"/>
      <c r="AG3" s="671" t="s">
        <v>130</v>
      </c>
      <c r="AH3" s="674"/>
      <c r="AI3" s="671" t="s">
        <v>110</v>
      </c>
      <c r="AJ3" s="674"/>
      <c r="AK3" s="424" t="s">
        <v>226</v>
      </c>
      <c r="AL3" s="671" t="s">
        <v>111</v>
      </c>
      <c r="AM3" s="672"/>
      <c r="AN3" s="147"/>
      <c r="AO3" s="147"/>
    </row>
    <row r="4" spans="1:41" ht="60.6" thickBot="1">
      <c r="B4" s="422" t="s">
        <v>55</v>
      </c>
      <c r="C4" s="418" t="s">
        <v>56</v>
      </c>
      <c r="D4" s="418" t="s">
        <v>43</v>
      </c>
      <c r="E4" s="418" t="s">
        <v>70</v>
      </c>
      <c r="F4" s="418" t="s">
        <v>71</v>
      </c>
      <c r="G4" s="418" t="s">
        <v>4</v>
      </c>
      <c r="H4" s="418" t="s">
        <v>5</v>
      </c>
      <c r="I4" s="419" t="s">
        <v>49</v>
      </c>
      <c r="J4" s="419" t="s">
        <v>50</v>
      </c>
      <c r="K4" s="419" t="s">
        <v>92</v>
      </c>
      <c r="L4" s="419" t="s">
        <v>129</v>
      </c>
      <c r="M4" s="419" t="s">
        <v>112</v>
      </c>
      <c r="N4" s="419" t="s">
        <v>270</v>
      </c>
      <c r="O4" s="419" t="s">
        <v>107</v>
      </c>
      <c r="P4" s="419" t="s">
        <v>128</v>
      </c>
      <c r="Q4" s="418" t="s">
        <v>102</v>
      </c>
      <c r="R4" s="419" t="s">
        <v>94</v>
      </c>
      <c r="S4" s="419" t="s">
        <v>72</v>
      </c>
      <c r="T4" s="419" t="s">
        <v>118</v>
      </c>
      <c r="U4" s="419" t="s">
        <v>127</v>
      </c>
      <c r="V4" s="419" t="s">
        <v>109</v>
      </c>
      <c r="W4" s="419" t="s">
        <v>125</v>
      </c>
      <c r="X4" s="419" t="s">
        <v>137</v>
      </c>
      <c r="Y4" s="419" t="s">
        <v>142</v>
      </c>
      <c r="Z4" s="419" t="s">
        <v>146</v>
      </c>
      <c r="AA4" s="419" t="s">
        <v>145</v>
      </c>
      <c r="AB4" s="419" t="s">
        <v>227</v>
      </c>
      <c r="AC4" s="419" t="s">
        <v>147</v>
      </c>
      <c r="AD4" s="419" t="s">
        <v>131</v>
      </c>
      <c r="AE4" s="419" t="s">
        <v>140</v>
      </c>
      <c r="AF4" s="419" t="s">
        <v>139</v>
      </c>
      <c r="AG4" s="419" t="s">
        <v>91</v>
      </c>
      <c r="AH4" s="419" t="s">
        <v>76</v>
      </c>
      <c r="AI4" s="420" t="s">
        <v>53</v>
      </c>
      <c r="AJ4" s="419" t="s">
        <v>54</v>
      </c>
      <c r="AK4" s="418"/>
      <c r="AL4" s="419" t="s">
        <v>126</v>
      </c>
      <c r="AM4" s="421" t="s">
        <v>59</v>
      </c>
      <c r="AN4" s="519" t="s">
        <v>238</v>
      </c>
      <c r="AO4"/>
    </row>
    <row r="5" spans="1:41" ht="12.6" thickBot="1"/>
    <row r="6" spans="1:41" ht="37.5" customHeight="1">
      <c r="A6" s="668" t="s">
        <v>42</v>
      </c>
      <c r="B6" s="366">
        <v>5</v>
      </c>
      <c r="C6" s="367" t="s">
        <v>60</v>
      </c>
      <c r="D6" s="367" t="s">
        <v>81</v>
      </c>
      <c r="E6" s="368" t="s">
        <v>73</v>
      </c>
      <c r="F6" s="368" t="s">
        <v>74</v>
      </c>
      <c r="G6" s="368">
        <v>2036</v>
      </c>
      <c r="H6" s="368">
        <v>2045</v>
      </c>
      <c r="I6" s="369">
        <v>0.503</v>
      </c>
      <c r="J6" s="369">
        <f>1-I6</f>
        <v>0.497</v>
      </c>
      <c r="K6" s="370"/>
      <c r="L6" s="370"/>
      <c r="M6" s="371"/>
      <c r="N6" s="371"/>
      <c r="O6" s="577">
        <v>7538800</v>
      </c>
      <c r="P6" s="371"/>
      <c r="Q6" s="373" t="s">
        <v>103</v>
      </c>
      <c r="R6" s="368">
        <v>35</v>
      </c>
      <c r="S6" s="368">
        <v>15</v>
      </c>
      <c r="T6" s="371"/>
      <c r="U6" s="371"/>
      <c r="V6" s="578">
        <f>MROUND((O6+(O6*(R6/100))+(O6*(S6/100))),1000)</f>
        <v>11308000</v>
      </c>
      <c r="W6" s="372">
        <f>V6*(1+Assumptions!$B$19)^1</f>
        <v>11590699.999999998</v>
      </c>
      <c r="X6" s="375">
        <f>W6*(1+Assumptions!$B$19)^1</f>
        <v>11880467.499999996</v>
      </c>
      <c r="Y6" s="375" t="s">
        <v>57</v>
      </c>
      <c r="Z6" s="375"/>
      <c r="AA6" s="375"/>
      <c r="AB6" s="375"/>
      <c r="AC6" s="375"/>
      <c r="AD6" s="371"/>
      <c r="AE6" s="371"/>
      <c r="AF6" s="374">
        <f>X6-AD6</f>
        <v>11880467.499999996</v>
      </c>
      <c r="AG6" s="376"/>
      <c r="AH6" s="376"/>
      <c r="AI6" s="376">
        <f>AF6*I6</f>
        <v>5975875.152499998</v>
      </c>
      <c r="AJ6" s="376">
        <f>AF6*J6</f>
        <v>5904592.3474999983</v>
      </c>
      <c r="AK6" s="377" t="s">
        <v>57</v>
      </c>
      <c r="AL6" s="378"/>
      <c r="AM6" s="379"/>
      <c r="AN6" s="664" t="s">
        <v>239</v>
      </c>
      <c r="AO6"/>
    </row>
    <row r="7" spans="1:41" ht="37.5" customHeight="1">
      <c r="A7" s="669"/>
      <c r="B7" s="579" t="s">
        <v>267</v>
      </c>
      <c r="C7" s="580" t="s">
        <v>268</v>
      </c>
      <c r="D7" s="580" t="s">
        <v>269</v>
      </c>
      <c r="E7" s="581" t="s">
        <v>73</v>
      </c>
      <c r="F7" s="581" t="s">
        <v>74</v>
      </c>
      <c r="G7" s="581">
        <v>2026</v>
      </c>
      <c r="H7" s="581">
        <v>2026</v>
      </c>
      <c r="I7" s="582">
        <v>0.75</v>
      </c>
      <c r="J7" s="582">
        <v>0.25</v>
      </c>
      <c r="K7" s="382"/>
      <c r="L7" s="382"/>
      <c r="M7" s="583"/>
      <c r="N7" s="583"/>
      <c r="O7" s="584"/>
      <c r="P7" s="583"/>
      <c r="Q7" s="383" t="s">
        <v>264</v>
      </c>
      <c r="R7" s="585"/>
      <c r="S7" s="585"/>
      <c r="T7" s="583"/>
      <c r="U7" s="583"/>
      <c r="V7" s="586"/>
      <c r="W7" s="587"/>
      <c r="X7" s="588">
        <v>47347</v>
      </c>
      <c r="Y7" s="588" t="s">
        <v>57</v>
      </c>
      <c r="Z7" s="588"/>
      <c r="AA7" s="588"/>
      <c r="AB7" s="588"/>
      <c r="AC7" s="588"/>
      <c r="AD7" s="583"/>
      <c r="AE7" s="583"/>
      <c r="AF7" s="385">
        <v>47347</v>
      </c>
      <c r="AG7" s="386"/>
      <c r="AH7" s="386"/>
      <c r="AI7" s="386">
        <f t="shared" ref="AI7:AI15" si="0">AF7*I7</f>
        <v>35510.25</v>
      </c>
      <c r="AJ7" s="386">
        <f t="shared" ref="AJ7:AJ15" si="1">AF7*J7</f>
        <v>11836.75</v>
      </c>
      <c r="AK7" s="589" t="s">
        <v>57</v>
      </c>
      <c r="AL7" s="388"/>
      <c r="AM7" s="389"/>
      <c r="AN7" s="664"/>
      <c r="AO7"/>
    </row>
    <row r="8" spans="1:41" ht="59.1" customHeight="1">
      <c r="A8" s="669"/>
      <c r="B8" s="380">
        <v>8</v>
      </c>
      <c r="C8" s="590" t="s">
        <v>119</v>
      </c>
      <c r="D8" s="590" t="s">
        <v>120</v>
      </c>
      <c r="E8" s="585" t="s">
        <v>73</v>
      </c>
      <c r="F8" s="585" t="s">
        <v>77</v>
      </c>
      <c r="G8" s="585">
        <v>2028</v>
      </c>
      <c r="H8" s="585">
        <v>2035</v>
      </c>
      <c r="I8" s="381">
        <v>0.503</v>
      </c>
      <c r="J8" s="381">
        <f t="shared" ref="J8:J17" si="2">1-I8</f>
        <v>0.497</v>
      </c>
      <c r="K8" s="382"/>
      <c r="L8" s="382"/>
      <c r="M8" s="583"/>
      <c r="N8" s="583"/>
      <c r="O8" s="584">
        <v>1790300</v>
      </c>
      <c r="P8" s="583"/>
      <c r="Q8" s="383" t="s">
        <v>103</v>
      </c>
      <c r="R8" s="384">
        <v>35</v>
      </c>
      <c r="S8" s="585">
        <v>15</v>
      </c>
      <c r="T8" s="583"/>
      <c r="U8" s="583"/>
      <c r="V8" s="586">
        <f>MROUND((O8+(O8*(R8/100))+(O8*(S8/100))),1000)</f>
        <v>2685000</v>
      </c>
      <c r="W8" s="588">
        <f>V8*(1+Assumptions!$B$19)^1</f>
        <v>2752124.9999999995</v>
      </c>
      <c r="X8" s="588">
        <f>W8*(1+Assumptions!$B$19)^1</f>
        <v>2820928.1249999991</v>
      </c>
      <c r="Y8" s="588" t="s">
        <v>57</v>
      </c>
      <c r="Z8" s="588"/>
      <c r="AA8" s="588"/>
      <c r="AB8" s="588"/>
      <c r="AC8" s="588"/>
      <c r="AD8" s="583"/>
      <c r="AE8" s="583"/>
      <c r="AF8" s="385">
        <f t="shared" ref="AF8:AF14" si="3">X8-AD8</f>
        <v>2820928.1249999991</v>
      </c>
      <c r="AG8" s="386"/>
      <c r="AH8" s="386"/>
      <c r="AI8" s="386">
        <f t="shared" si="0"/>
        <v>1418926.8468749996</v>
      </c>
      <c r="AJ8" s="386">
        <f t="shared" si="1"/>
        <v>1402001.2781249995</v>
      </c>
      <c r="AK8" s="591" t="s">
        <v>57</v>
      </c>
      <c r="AL8" s="386"/>
      <c r="AM8" s="387"/>
      <c r="AN8" s="664"/>
      <c r="AO8"/>
    </row>
    <row r="9" spans="1:41" ht="37.5" customHeight="1">
      <c r="A9" s="669"/>
      <c r="B9" s="380">
        <v>33</v>
      </c>
      <c r="C9" s="590" t="s">
        <v>62</v>
      </c>
      <c r="D9" s="590" t="s">
        <v>85</v>
      </c>
      <c r="E9" s="585" t="s">
        <v>73</v>
      </c>
      <c r="F9" s="585" t="s">
        <v>77</v>
      </c>
      <c r="G9" s="585">
        <v>2040</v>
      </c>
      <c r="H9" s="585">
        <v>2042</v>
      </c>
      <c r="I9" s="381">
        <v>0.503</v>
      </c>
      <c r="J9" s="381">
        <f t="shared" si="2"/>
        <v>0.497</v>
      </c>
      <c r="K9" s="382"/>
      <c r="L9" s="382"/>
      <c r="M9" s="583"/>
      <c r="N9" s="583"/>
      <c r="O9" s="584">
        <v>139400</v>
      </c>
      <c r="P9" s="583"/>
      <c r="Q9" s="383" t="s">
        <v>103</v>
      </c>
      <c r="R9" s="384">
        <v>35</v>
      </c>
      <c r="S9" s="585">
        <v>15</v>
      </c>
      <c r="T9" s="583"/>
      <c r="U9" s="583"/>
      <c r="V9" s="586">
        <f t="shared" ref="V9:V14" si="4">MROUND((O9+(O9*(R9/100))+(O9*(S9/100))),1000)</f>
        <v>209000</v>
      </c>
      <c r="W9" s="588">
        <f>V9*(1+Assumptions!$B$19)^1</f>
        <v>214224.99999999997</v>
      </c>
      <c r="X9" s="588">
        <f>W9*(1+Assumptions!$B$19)^1</f>
        <v>219580.62499999994</v>
      </c>
      <c r="Y9" s="588" t="s">
        <v>57</v>
      </c>
      <c r="Z9" s="588"/>
      <c r="AA9" s="588"/>
      <c r="AB9" s="588"/>
      <c r="AC9" s="588"/>
      <c r="AD9" s="583"/>
      <c r="AE9" s="583"/>
      <c r="AF9" s="385">
        <f t="shared" si="3"/>
        <v>219580.62499999994</v>
      </c>
      <c r="AG9" s="386"/>
      <c r="AH9" s="386"/>
      <c r="AI9" s="386">
        <f t="shared" si="0"/>
        <v>110449.05437499998</v>
      </c>
      <c r="AJ9" s="386">
        <f t="shared" si="1"/>
        <v>109131.57062499996</v>
      </c>
      <c r="AK9" s="591" t="s">
        <v>57</v>
      </c>
      <c r="AL9" s="585"/>
      <c r="AM9" s="387"/>
      <c r="AN9" s="664"/>
      <c r="AO9"/>
    </row>
    <row r="10" spans="1:41" ht="49.5" customHeight="1">
      <c r="A10" s="669"/>
      <c r="B10" s="380">
        <v>64</v>
      </c>
      <c r="C10" s="590" t="s">
        <v>121</v>
      </c>
      <c r="D10" s="590" t="s">
        <v>122</v>
      </c>
      <c r="E10" s="585" t="s">
        <v>73</v>
      </c>
      <c r="F10" s="585" t="s">
        <v>77</v>
      </c>
      <c r="G10" s="585">
        <v>2028</v>
      </c>
      <c r="H10" s="585">
        <v>2030</v>
      </c>
      <c r="I10" s="381">
        <v>0.503</v>
      </c>
      <c r="J10" s="381">
        <f t="shared" si="2"/>
        <v>0.497</v>
      </c>
      <c r="K10" s="382"/>
      <c r="L10" s="382"/>
      <c r="M10" s="583"/>
      <c r="N10" s="583"/>
      <c r="O10" s="584">
        <v>963600</v>
      </c>
      <c r="P10" s="583"/>
      <c r="Q10" s="383" t="s">
        <v>103</v>
      </c>
      <c r="R10" s="384">
        <v>35</v>
      </c>
      <c r="S10" s="585">
        <v>15</v>
      </c>
      <c r="T10" s="583"/>
      <c r="U10" s="583"/>
      <c r="V10" s="586">
        <f t="shared" si="4"/>
        <v>1445000</v>
      </c>
      <c r="W10" s="588">
        <f>V10*(1+Assumptions!$B$19)^1</f>
        <v>1481124.9999999998</v>
      </c>
      <c r="X10" s="588">
        <f>W10*(1+Assumptions!$B$19)^1</f>
        <v>1518153.1249999995</v>
      </c>
      <c r="Y10" s="588" t="s">
        <v>57</v>
      </c>
      <c r="Z10" s="588"/>
      <c r="AA10" s="588"/>
      <c r="AB10" s="588"/>
      <c r="AC10" s="588"/>
      <c r="AD10" s="583"/>
      <c r="AE10" s="583"/>
      <c r="AF10" s="385">
        <f t="shared" si="3"/>
        <v>1518153.1249999995</v>
      </c>
      <c r="AG10" s="386"/>
      <c r="AH10" s="386"/>
      <c r="AI10" s="386">
        <f t="shared" si="0"/>
        <v>763631.02187499974</v>
      </c>
      <c r="AJ10" s="386">
        <f t="shared" si="1"/>
        <v>754522.10312499979</v>
      </c>
      <c r="AK10" s="591" t="s">
        <v>57</v>
      </c>
      <c r="AL10" s="386"/>
      <c r="AM10" s="387"/>
      <c r="AN10" s="664"/>
      <c r="AO10"/>
    </row>
    <row r="11" spans="1:41" ht="37.5" customHeight="1">
      <c r="A11" s="669"/>
      <c r="B11" s="380">
        <v>67</v>
      </c>
      <c r="C11" s="590" t="s">
        <v>63</v>
      </c>
      <c r="D11" s="590" t="s">
        <v>86</v>
      </c>
      <c r="E11" s="585" t="s">
        <v>73</v>
      </c>
      <c r="F11" s="585" t="s">
        <v>77</v>
      </c>
      <c r="G11" s="585">
        <v>2036</v>
      </c>
      <c r="H11" s="585">
        <v>2045</v>
      </c>
      <c r="I11" s="381">
        <v>0.503</v>
      </c>
      <c r="J11" s="381">
        <f t="shared" si="2"/>
        <v>0.497</v>
      </c>
      <c r="K11" s="382"/>
      <c r="L11" s="382"/>
      <c r="M11" s="583"/>
      <c r="N11" s="583"/>
      <c r="O11" s="584">
        <v>14315200</v>
      </c>
      <c r="P11" s="583"/>
      <c r="Q11" s="383" t="s">
        <v>103</v>
      </c>
      <c r="R11" s="384">
        <v>35</v>
      </c>
      <c r="S11" s="585">
        <v>15</v>
      </c>
      <c r="T11" s="583"/>
      <c r="U11" s="583"/>
      <c r="V11" s="586">
        <f t="shared" si="4"/>
        <v>21473000</v>
      </c>
      <c r="W11" s="587">
        <f>V11*(1+Assumptions!$B$19)^1</f>
        <v>22009824.999999996</v>
      </c>
      <c r="X11" s="587">
        <f>W11*(1+Assumptions!$B$19)^1</f>
        <v>22560070.624999993</v>
      </c>
      <c r="Y11" s="588" t="s">
        <v>57</v>
      </c>
      <c r="Z11" s="588"/>
      <c r="AA11" s="588"/>
      <c r="AB11" s="588"/>
      <c r="AC11" s="588"/>
      <c r="AD11" s="583"/>
      <c r="AE11" s="583"/>
      <c r="AF11" s="385">
        <f t="shared" si="3"/>
        <v>22560070.624999993</v>
      </c>
      <c r="AG11" s="386"/>
      <c r="AH11" s="386"/>
      <c r="AI11" s="386">
        <f t="shared" si="0"/>
        <v>11347715.524374997</v>
      </c>
      <c r="AJ11" s="386">
        <f t="shared" si="1"/>
        <v>11212355.100624995</v>
      </c>
      <c r="AK11" s="591" t="s">
        <v>57</v>
      </c>
      <c r="AL11" s="386"/>
      <c r="AM11" s="387"/>
      <c r="AN11" s="664"/>
      <c r="AO11"/>
    </row>
    <row r="12" spans="1:41" ht="37.5" customHeight="1">
      <c r="A12" s="669"/>
      <c r="B12" s="380">
        <v>71</v>
      </c>
      <c r="C12" s="590" t="s">
        <v>64</v>
      </c>
      <c r="D12" s="590" t="s">
        <v>87</v>
      </c>
      <c r="E12" s="585" t="s">
        <v>73</v>
      </c>
      <c r="F12" s="585" t="s">
        <v>77</v>
      </c>
      <c r="G12" s="585">
        <v>2027</v>
      </c>
      <c r="H12" s="585">
        <v>2028</v>
      </c>
      <c r="I12" s="381">
        <v>0.503</v>
      </c>
      <c r="J12" s="381">
        <f t="shared" si="2"/>
        <v>0.497</v>
      </c>
      <c r="K12" s="382"/>
      <c r="L12" s="382"/>
      <c r="M12" s="583"/>
      <c r="N12" s="583"/>
      <c r="O12" s="584">
        <v>127300</v>
      </c>
      <c r="P12" s="583"/>
      <c r="Q12" s="383" t="s">
        <v>103</v>
      </c>
      <c r="R12" s="384">
        <v>35</v>
      </c>
      <c r="S12" s="585">
        <v>15</v>
      </c>
      <c r="T12" s="583"/>
      <c r="U12" s="583"/>
      <c r="V12" s="586">
        <f t="shared" si="4"/>
        <v>191000</v>
      </c>
      <c r="W12" s="587">
        <f>V12*(1+Assumptions!$B$19)^1</f>
        <v>195774.99999999997</v>
      </c>
      <c r="X12" s="587">
        <f>W12*(1+Assumptions!$B$19)^1</f>
        <v>200669.37499999994</v>
      </c>
      <c r="Y12" s="588" t="s">
        <v>57</v>
      </c>
      <c r="Z12" s="588"/>
      <c r="AA12" s="588"/>
      <c r="AB12" s="588"/>
      <c r="AC12" s="588"/>
      <c r="AD12" s="583"/>
      <c r="AE12" s="583"/>
      <c r="AF12" s="385">
        <f t="shared" si="3"/>
        <v>200669.37499999994</v>
      </c>
      <c r="AG12" s="386"/>
      <c r="AH12" s="386"/>
      <c r="AI12" s="386">
        <f t="shared" si="0"/>
        <v>100936.69562499998</v>
      </c>
      <c r="AJ12" s="386">
        <f t="shared" si="1"/>
        <v>99732.679374999963</v>
      </c>
      <c r="AK12" s="591" t="s">
        <v>57</v>
      </c>
      <c r="AL12" s="386"/>
      <c r="AM12" s="387"/>
      <c r="AN12" s="664"/>
      <c r="AO12"/>
    </row>
    <row r="13" spans="1:41" ht="37.5" customHeight="1">
      <c r="A13" s="669"/>
      <c r="B13" s="380">
        <v>72</v>
      </c>
      <c r="C13" s="590" t="s">
        <v>65</v>
      </c>
      <c r="D13" s="590" t="s">
        <v>88</v>
      </c>
      <c r="E13" s="585" t="s">
        <v>73</v>
      </c>
      <c r="F13" s="585" t="s">
        <v>77</v>
      </c>
      <c r="G13" s="585">
        <v>2040</v>
      </c>
      <c r="H13" s="585">
        <v>2041</v>
      </c>
      <c r="I13" s="381">
        <v>0.503</v>
      </c>
      <c r="J13" s="381">
        <f t="shared" si="2"/>
        <v>0.497</v>
      </c>
      <c r="K13" s="382"/>
      <c r="L13" s="382"/>
      <c r="M13" s="583"/>
      <c r="N13" s="583"/>
      <c r="O13" s="584">
        <v>339400</v>
      </c>
      <c r="P13" s="583"/>
      <c r="Q13" s="383" t="s">
        <v>103</v>
      </c>
      <c r="R13" s="384">
        <v>35</v>
      </c>
      <c r="S13" s="585">
        <v>15</v>
      </c>
      <c r="T13" s="583"/>
      <c r="U13" s="583"/>
      <c r="V13" s="586">
        <f t="shared" si="4"/>
        <v>509000</v>
      </c>
      <c r="W13" s="587">
        <f>V13*(1+Assumptions!$B$19)^1</f>
        <v>521724.99999999994</v>
      </c>
      <c r="X13" s="587">
        <f>W13*(1+Assumptions!$B$19)^1</f>
        <v>534768.12499999988</v>
      </c>
      <c r="Y13" s="588" t="s">
        <v>57</v>
      </c>
      <c r="Z13" s="588"/>
      <c r="AA13" s="588"/>
      <c r="AB13" s="588"/>
      <c r="AC13" s="588"/>
      <c r="AD13" s="583"/>
      <c r="AE13" s="583"/>
      <c r="AF13" s="385">
        <f t="shared" si="3"/>
        <v>534768.12499999988</v>
      </c>
      <c r="AG13" s="386"/>
      <c r="AH13" s="386"/>
      <c r="AI13" s="386">
        <f t="shared" si="0"/>
        <v>268988.36687499995</v>
      </c>
      <c r="AJ13" s="386">
        <f t="shared" si="1"/>
        <v>265779.75812499993</v>
      </c>
      <c r="AK13" s="591" t="s">
        <v>57</v>
      </c>
      <c r="AL13" s="386"/>
      <c r="AM13" s="387"/>
      <c r="AN13" s="664"/>
      <c r="AO13"/>
    </row>
    <row r="14" spans="1:41" ht="37.5" customHeight="1">
      <c r="A14" s="669"/>
      <c r="B14" s="380">
        <v>73</v>
      </c>
      <c r="C14" s="590" t="s">
        <v>66</v>
      </c>
      <c r="D14" s="590" t="s">
        <v>89</v>
      </c>
      <c r="E14" s="585" t="s">
        <v>73</v>
      </c>
      <c r="F14" s="585" t="s">
        <v>77</v>
      </c>
      <c r="G14" s="585">
        <v>2040</v>
      </c>
      <c r="H14" s="585">
        <v>2041</v>
      </c>
      <c r="I14" s="381">
        <v>0.503</v>
      </c>
      <c r="J14" s="381">
        <f t="shared" si="2"/>
        <v>0.497</v>
      </c>
      <c r="K14" s="382"/>
      <c r="L14" s="382"/>
      <c r="M14" s="583"/>
      <c r="N14" s="583"/>
      <c r="O14" s="584">
        <v>260600</v>
      </c>
      <c r="P14" s="583"/>
      <c r="Q14" s="383" t="s">
        <v>103</v>
      </c>
      <c r="R14" s="384">
        <v>35</v>
      </c>
      <c r="S14" s="585">
        <v>15</v>
      </c>
      <c r="T14" s="583"/>
      <c r="U14" s="583"/>
      <c r="V14" s="586">
        <f t="shared" si="4"/>
        <v>391000</v>
      </c>
      <c r="W14" s="587">
        <f>V14*(1+Assumptions!$B$19)^1</f>
        <v>400774.99999999994</v>
      </c>
      <c r="X14" s="587">
        <f>W14*(1+Assumptions!$B$19)^1</f>
        <v>410794.37499999988</v>
      </c>
      <c r="Y14" s="588" t="s">
        <v>57</v>
      </c>
      <c r="Z14" s="588"/>
      <c r="AA14" s="588"/>
      <c r="AB14" s="588"/>
      <c r="AC14" s="588"/>
      <c r="AD14" s="583"/>
      <c r="AE14" s="583"/>
      <c r="AF14" s="385">
        <f t="shared" si="3"/>
        <v>410794.37499999988</v>
      </c>
      <c r="AG14" s="386"/>
      <c r="AH14" s="386"/>
      <c r="AI14" s="386">
        <f t="shared" si="0"/>
        <v>206629.57062499993</v>
      </c>
      <c r="AJ14" s="386">
        <f t="shared" si="1"/>
        <v>204164.80437499995</v>
      </c>
      <c r="AK14" s="591" t="s">
        <v>57</v>
      </c>
      <c r="AL14" s="386"/>
      <c r="AM14" s="387"/>
      <c r="AN14" s="664"/>
      <c r="AO14"/>
    </row>
    <row r="15" spans="1:41" ht="37.5" customHeight="1">
      <c r="A15" s="669"/>
      <c r="B15" s="380">
        <v>81</v>
      </c>
      <c r="C15" s="590" t="s">
        <v>67</v>
      </c>
      <c r="D15" s="590" t="s">
        <v>90</v>
      </c>
      <c r="E15" s="585" t="s">
        <v>73</v>
      </c>
      <c r="F15" s="585" t="s">
        <v>77</v>
      </c>
      <c r="G15" s="581">
        <v>2027</v>
      </c>
      <c r="H15" s="581">
        <v>2027</v>
      </c>
      <c r="I15" s="381">
        <v>0.75</v>
      </c>
      <c r="J15" s="381">
        <f t="shared" si="2"/>
        <v>0.25</v>
      </c>
      <c r="K15" s="382"/>
      <c r="L15" s="382"/>
      <c r="M15" s="592"/>
      <c r="N15" s="584">
        <v>637669.23</v>
      </c>
      <c r="O15" s="587"/>
      <c r="P15" s="583"/>
      <c r="Q15" s="383" t="s">
        <v>103</v>
      </c>
      <c r="R15" s="384"/>
      <c r="S15" s="585"/>
      <c r="T15" s="583"/>
      <c r="U15" s="385">
        <f>MROUND((N15+(N15*(R15/100))+(N15*(S15/100))),1000)</f>
        <v>638000</v>
      </c>
      <c r="V15" s="587">
        <f>U15*(1+Assumptions!$B$19)^1</f>
        <v>653950</v>
      </c>
      <c r="W15" s="587">
        <f>V15*(1+Assumptions!$B$19)^1</f>
        <v>670298.75</v>
      </c>
      <c r="X15" s="587">
        <f>W15*(1+Assumptions!$B$19)^1</f>
        <v>687056.21874999988</v>
      </c>
      <c r="Y15" s="588" t="s">
        <v>57</v>
      </c>
      <c r="Z15" s="588"/>
      <c r="AA15" s="588"/>
      <c r="AB15" s="588"/>
      <c r="AC15" s="588"/>
      <c r="AD15" s="583"/>
      <c r="AE15" s="583"/>
      <c r="AF15" s="385">
        <f>X15-AD15</f>
        <v>687056.21874999988</v>
      </c>
      <c r="AG15" s="386"/>
      <c r="AH15" s="386"/>
      <c r="AI15" s="386">
        <f t="shared" si="0"/>
        <v>515292.16406249988</v>
      </c>
      <c r="AJ15" s="386">
        <f t="shared" si="1"/>
        <v>171764.05468749997</v>
      </c>
      <c r="AK15" s="591" t="s">
        <v>57</v>
      </c>
      <c r="AL15" s="386"/>
      <c r="AM15" s="387"/>
      <c r="AN15" s="664"/>
      <c r="AO15"/>
    </row>
    <row r="16" spans="1:41" ht="37.5" customHeight="1">
      <c r="A16" s="669"/>
      <c r="B16" s="380">
        <v>90</v>
      </c>
      <c r="C16" s="590" t="s">
        <v>83</v>
      </c>
      <c r="D16" s="590" t="s">
        <v>84</v>
      </c>
      <c r="E16" s="585" t="s">
        <v>73</v>
      </c>
      <c r="F16" s="585" t="s">
        <v>77</v>
      </c>
      <c r="G16" s="585">
        <v>2027</v>
      </c>
      <c r="H16" s="585">
        <v>2028</v>
      </c>
      <c r="I16" s="381">
        <v>0.503</v>
      </c>
      <c r="J16" s="381">
        <f t="shared" si="2"/>
        <v>0.497</v>
      </c>
      <c r="K16" s="382"/>
      <c r="L16" s="382"/>
      <c r="M16" s="583"/>
      <c r="N16" s="583"/>
      <c r="P16" s="587">
        <v>679100</v>
      </c>
      <c r="Q16" s="383" t="s">
        <v>104</v>
      </c>
      <c r="R16" s="384">
        <v>15</v>
      </c>
      <c r="S16" s="585">
        <v>10</v>
      </c>
      <c r="T16" s="583"/>
      <c r="U16" s="583"/>
      <c r="V16" s="385"/>
      <c r="W16" s="587">
        <v>848935</v>
      </c>
      <c r="X16" s="587">
        <f>W16*(1+Assumptions!$B$19)^1</f>
        <v>870158.37499999988</v>
      </c>
      <c r="Y16" s="588" t="s">
        <v>57</v>
      </c>
      <c r="Z16" s="588"/>
      <c r="AA16" s="588"/>
      <c r="AB16" s="588"/>
      <c r="AC16" s="588"/>
      <c r="AD16" s="583"/>
      <c r="AE16" s="583"/>
      <c r="AF16" s="385">
        <f>X16-AD16</f>
        <v>870158.37499999988</v>
      </c>
      <c r="AG16" s="386"/>
      <c r="AH16" s="386"/>
      <c r="AI16" s="386">
        <f>AF16*I16</f>
        <v>437689.66262499994</v>
      </c>
      <c r="AJ16" s="386">
        <f>AF16*J16</f>
        <v>432468.71237499994</v>
      </c>
      <c r="AK16" s="589" t="s">
        <v>57</v>
      </c>
      <c r="AL16" s="388"/>
      <c r="AM16" s="389"/>
      <c r="AN16" s="664"/>
      <c r="AO16"/>
    </row>
    <row r="17" spans="1:41" ht="37.5" customHeight="1" thickBot="1">
      <c r="A17" s="670"/>
      <c r="B17" s="390" t="s">
        <v>156</v>
      </c>
      <c r="C17" s="391" t="s">
        <v>155</v>
      </c>
      <c r="D17" s="391" t="s">
        <v>82</v>
      </c>
      <c r="E17" s="392" t="s">
        <v>73</v>
      </c>
      <c r="F17" s="392" t="s">
        <v>74</v>
      </c>
      <c r="G17" s="392">
        <v>2026</v>
      </c>
      <c r="H17" s="392">
        <v>2026</v>
      </c>
      <c r="I17" s="523">
        <v>0.75</v>
      </c>
      <c r="J17" s="523">
        <f t="shared" si="2"/>
        <v>0.25</v>
      </c>
      <c r="K17" s="393"/>
      <c r="L17" s="393"/>
      <c r="M17" s="394"/>
      <c r="N17" s="394"/>
      <c r="O17" s="394"/>
      <c r="P17" s="394"/>
      <c r="Q17" s="566" t="s">
        <v>264</v>
      </c>
      <c r="R17" s="397"/>
      <c r="S17" s="392"/>
      <c r="T17" s="394"/>
      <c r="U17" s="394"/>
      <c r="V17" s="398"/>
      <c r="W17" s="395"/>
      <c r="X17" s="395">
        <v>1000000</v>
      </c>
      <c r="Y17" s="399" t="s">
        <v>57</v>
      </c>
      <c r="Z17" s="399"/>
      <c r="AA17" s="399"/>
      <c r="AB17" s="399"/>
      <c r="AC17" s="395">
        <v>205418</v>
      </c>
      <c r="AD17" s="395">
        <v>244891</v>
      </c>
      <c r="AE17" s="525">
        <v>273084</v>
      </c>
      <c r="AF17" s="398">
        <f>X17-AE17-AD17-AC17-180498</f>
        <v>96109</v>
      </c>
      <c r="AG17" s="400"/>
      <c r="AH17" s="400"/>
      <c r="AI17" s="400">
        <f>AF17*I17</f>
        <v>72081.75</v>
      </c>
      <c r="AJ17" s="400">
        <f>AF17*J17</f>
        <v>24027.25</v>
      </c>
      <c r="AK17" s="401" t="s">
        <v>57</v>
      </c>
      <c r="AL17" s="402"/>
      <c r="AM17" s="403"/>
      <c r="AN17" s="521" t="s">
        <v>274</v>
      </c>
      <c r="AO17"/>
    </row>
    <row r="18" spans="1:41" ht="14.25" customHeight="1">
      <c r="A18" s="144"/>
      <c r="B18" s="146"/>
      <c r="J18" s="145"/>
      <c r="K18" s="145"/>
      <c r="L18" s="145"/>
      <c r="V18" s="142"/>
      <c r="W18" s="142"/>
      <c r="X18" s="596">
        <f>SUM(X6:X17)</f>
        <v>42749993.468749985</v>
      </c>
      <c r="Y18" s="142"/>
      <c r="Z18" s="142"/>
      <c r="AA18" s="142"/>
      <c r="AB18" s="142"/>
      <c r="AC18" s="142"/>
      <c r="AF18" s="596">
        <f>SUM(AF6:AF17)</f>
        <v>41846102.468749985</v>
      </c>
      <c r="AG18" s="142"/>
      <c r="AH18" s="142"/>
      <c r="AI18"/>
      <c r="AJ18"/>
      <c r="AK18"/>
      <c r="AN18"/>
      <c r="AO18"/>
    </row>
    <row r="19" spans="1:41" ht="15" thickBot="1">
      <c r="AI19"/>
      <c r="AJ19"/>
      <c r="AK19"/>
      <c r="AN19"/>
      <c r="AO19"/>
    </row>
    <row r="20" spans="1:41" ht="37.5" customHeight="1" thickBot="1">
      <c r="A20" s="425" t="s">
        <v>99</v>
      </c>
      <c r="B20" s="404" t="s">
        <v>157</v>
      </c>
      <c r="C20" s="405" t="s">
        <v>61</v>
      </c>
      <c r="D20" s="405" t="s">
        <v>82</v>
      </c>
      <c r="E20" s="406" t="s">
        <v>225</v>
      </c>
      <c r="F20" s="406" t="s">
        <v>77</v>
      </c>
      <c r="G20" s="406">
        <v>2036</v>
      </c>
      <c r="H20" s="406">
        <v>2045</v>
      </c>
      <c r="I20" s="407">
        <v>0.91500000000000004</v>
      </c>
      <c r="J20" s="407">
        <f>1-I20</f>
        <v>8.4999999999999964E-2</v>
      </c>
      <c r="K20" s="408"/>
      <c r="L20" s="408"/>
      <c r="M20" s="409"/>
      <c r="N20" s="409"/>
      <c r="O20" s="410"/>
      <c r="P20" s="410">
        <f>MROUND((W20)/(1+(R20/100)+(S20/100)),100)</f>
        <v>39915400</v>
      </c>
      <c r="Q20" s="411" t="s">
        <v>104</v>
      </c>
      <c r="R20" s="412">
        <v>12</v>
      </c>
      <c r="S20" s="406">
        <v>10</v>
      </c>
      <c r="T20" s="409"/>
      <c r="U20" s="409"/>
      <c r="V20" s="409"/>
      <c r="W20" s="410">
        <v>48696807</v>
      </c>
      <c r="X20" s="524">
        <f>W20*(1+Assumptions!$B$19)^1</f>
        <v>49914227.174999997</v>
      </c>
      <c r="Y20" s="413" t="s">
        <v>57</v>
      </c>
      <c r="Z20" s="413"/>
      <c r="AA20" s="413"/>
      <c r="AB20" s="413"/>
      <c r="AC20" s="413"/>
      <c r="AD20" s="409"/>
      <c r="AE20" s="409"/>
      <c r="AF20" s="410">
        <f>X20-AD20</f>
        <v>49914227.174999997</v>
      </c>
      <c r="AG20" s="414"/>
      <c r="AH20" s="414"/>
      <c r="AI20" s="414">
        <f>AF20*I20</f>
        <v>45671517.865125</v>
      </c>
      <c r="AJ20" s="414">
        <f>AF20*J20</f>
        <v>4242709.3098749984</v>
      </c>
      <c r="AK20" s="415" t="s">
        <v>58</v>
      </c>
      <c r="AL20" s="416">
        <v>4600</v>
      </c>
      <c r="AM20" s="417">
        <f>(AI20-(AL20*'Oversize Costs'!D12))</f>
        <v>32849477.865125</v>
      </c>
      <c r="AN20" s="520" t="s">
        <v>240</v>
      </c>
      <c r="AO20"/>
    </row>
    <row r="21" spans="1:41" ht="14.4">
      <c r="AN21"/>
      <c r="AO21"/>
    </row>
    <row r="22" spans="1:41" ht="16.2">
      <c r="A22" s="143"/>
      <c r="D22" s="522"/>
      <c r="E22" s="522"/>
      <c r="F22" s="522"/>
      <c r="G22" s="522"/>
      <c r="H22" s="522"/>
      <c r="I22" s="522"/>
      <c r="J22" s="522"/>
      <c r="K22" s="522"/>
      <c r="L22" s="522"/>
      <c r="Q22"/>
      <c r="R22"/>
      <c r="S22"/>
      <c r="T22"/>
      <c r="U22"/>
      <c r="V22"/>
      <c r="W22"/>
      <c r="X22"/>
      <c r="Y22"/>
      <c r="Z22"/>
      <c r="AA22"/>
      <c r="AB22"/>
      <c r="AC22"/>
      <c r="AD22"/>
      <c r="AE22"/>
      <c r="AF22"/>
      <c r="AG22"/>
      <c r="AH22"/>
      <c r="AI22"/>
      <c r="AJ22"/>
      <c r="AK22"/>
      <c r="AL22"/>
      <c r="AM22"/>
      <c r="AN22"/>
      <c r="AO22"/>
    </row>
    <row r="25" spans="1:41">
      <c r="X25" s="67"/>
    </row>
    <row r="26" spans="1:41">
      <c r="O26" s="148"/>
    </row>
    <row r="28" spans="1:41">
      <c r="W28" s="67"/>
    </row>
  </sheetData>
  <mergeCells count="13">
    <mergeCell ref="AN6:AN16"/>
    <mergeCell ref="B3:D3"/>
    <mergeCell ref="A6:A17"/>
    <mergeCell ref="AL3:AM3"/>
    <mergeCell ref="E3:F3"/>
    <mergeCell ref="G3:H3"/>
    <mergeCell ref="I3:J3"/>
    <mergeCell ref="AI3:AJ3"/>
    <mergeCell ref="AG3:AH3"/>
    <mergeCell ref="K3:L3"/>
    <mergeCell ref="AB3:AF3"/>
    <mergeCell ref="M3:X3"/>
    <mergeCell ref="Y3:Z3"/>
  </mergeCells>
  <conditionalFormatting sqref="AK6:AK17">
    <cfRule type="cellIs" dxfId="1" priority="6" operator="equal">
      <formula>"""Yes"""</formula>
    </cfRule>
  </conditionalFormatting>
  <conditionalFormatting sqref="AK20">
    <cfRule type="cellIs" dxfId="0" priority="13" operator="equal">
      <formula>"""Yes"""</formula>
    </cfRule>
  </conditionalFormatting>
  <dataValidations count="3">
    <dataValidation type="list" allowBlank="1" showInputMessage="1" showErrorMessage="1" sqref="Q20" xr:uid="{AF6BF711-D49E-4E02-8553-8AE9B894D71F}">
      <formula1>"Conceptual, Preliminary Design, Detailed Design, Tendered"</formula1>
    </dataValidation>
    <dataValidation type="list" allowBlank="1" showInputMessage="1" showErrorMessage="1" sqref="AK6:AK17 AK20" xr:uid="{40CEBF79-C15E-4E70-BBE4-945A2A4B011A}">
      <formula1>"Yes,No"</formula1>
    </dataValidation>
    <dataValidation type="list" allowBlank="1" showInputMessage="1" showErrorMessage="1" sqref="Q6:Q17" xr:uid="{C4C9518D-0A76-4E31-BDCC-B5CF8DA0B206}">
      <formula1>"Conceptual, Preliminary Design, Detailed Design, Construction,Tendered"</formula1>
    </dataValidation>
  </dataValidations>
  <pageMargins left="0.25" right="0.25" top="0.75" bottom="0.75" header="0.3" footer="0.3"/>
  <pageSetup paperSize="4" scale="2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1067E-75C8-45A5-915F-E0137A82D08E}">
  <sheetPr codeName="Sheet53">
    <tabColor theme="7" tint="0.59999389629810485"/>
    <pageSetUpPr fitToPage="1"/>
  </sheetPr>
  <dimension ref="B1:AB58"/>
  <sheetViews>
    <sheetView showGridLines="0" topLeftCell="A18" zoomScale="85" zoomScaleNormal="85" workbookViewId="0">
      <selection activeCell="U31" sqref="U31"/>
    </sheetView>
  </sheetViews>
  <sheetFormatPr defaultColWidth="9.109375" defaultRowHeight="12"/>
  <cols>
    <col min="1" max="1" width="9.109375" style="61"/>
    <col min="2" max="2" width="9.88671875" style="61" customWidth="1"/>
    <col min="3" max="3" width="57.6640625" style="61" customWidth="1"/>
    <col min="4" max="4" width="69" style="61" customWidth="1"/>
    <col min="5" max="5" width="21.88671875" style="61" customWidth="1"/>
    <col min="6" max="6" width="16.109375" style="61" customWidth="1"/>
    <col min="7" max="7" width="13.5546875" style="61" customWidth="1"/>
    <col min="8" max="8" width="14.44140625" style="61" customWidth="1"/>
    <col min="9" max="9" width="13.6640625" style="61" customWidth="1"/>
    <col min="10" max="10" width="16.21875" style="61" customWidth="1"/>
    <col min="11" max="11" width="19.5546875" style="61" customWidth="1"/>
    <col min="12" max="12" width="19.21875" style="61" customWidth="1"/>
    <col min="13" max="16" width="21.5546875" style="61" customWidth="1"/>
    <col min="17" max="17" width="14.44140625" style="61" bestFit="1" customWidth="1"/>
    <col min="18" max="16384" width="9.109375" style="61"/>
  </cols>
  <sheetData>
    <row r="1" spans="2:28" s="64" customFormat="1" ht="15" customHeight="1">
      <c r="B1" s="63"/>
      <c r="I1" s="61"/>
      <c r="J1" s="61"/>
      <c r="K1" s="117"/>
      <c r="M1" s="61"/>
      <c r="N1" s="61"/>
      <c r="O1" s="61"/>
      <c r="P1" s="61"/>
    </row>
    <row r="2" spans="2:28" s="64" customFormat="1" ht="16.5" customHeight="1">
      <c r="B2" s="63"/>
      <c r="C2" s="66"/>
      <c r="I2" s="61"/>
      <c r="J2" s="61"/>
      <c r="K2" s="77"/>
      <c r="M2" s="61"/>
      <c r="N2" s="61"/>
      <c r="O2" s="61"/>
      <c r="P2" s="61"/>
    </row>
    <row r="3" spans="2:28" s="64" customFormat="1" ht="23.25" customHeight="1" thickBot="1">
      <c r="B3" s="75" t="s">
        <v>150</v>
      </c>
      <c r="C3" s="61"/>
      <c r="D3" s="61"/>
      <c r="E3" s="61"/>
      <c r="F3" s="61"/>
      <c r="G3" s="61"/>
      <c r="H3" s="61"/>
      <c r="I3" s="61"/>
      <c r="J3" s="61"/>
      <c r="K3" s="61"/>
      <c r="L3" s="61"/>
      <c r="M3" s="61"/>
      <c r="N3" s="61"/>
      <c r="O3" s="61"/>
      <c r="P3" s="61"/>
    </row>
    <row r="4" spans="2:28" s="64" customFormat="1" ht="23.25" customHeight="1" thickBot="1">
      <c r="B4" s="683" t="s">
        <v>31</v>
      </c>
      <c r="C4" s="684"/>
      <c r="D4" s="685"/>
      <c r="E4" s="686" t="s">
        <v>75</v>
      </c>
      <c r="F4" s="685"/>
      <c r="G4" s="686" t="s">
        <v>2</v>
      </c>
      <c r="H4" s="685"/>
      <c r="I4" s="686" t="s">
        <v>51</v>
      </c>
      <c r="J4" s="685"/>
      <c r="K4" s="681" t="s">
        <v>108</v>
      </c>
      <c r="L4" s="687"/>
      <c r="M4" s="681" t="s">
        <v>110</v>
      </c>
      <c r="N4" s="682"/>
      <c r="O4"/>
      <c r="P4"/>
    </row>
    <row r="5" spans="2:28" s="64" customFormat="1" ht="23.25" customHeight="1">
      <c r="B5" s="426" t="s">
        <v>55</v>
      </c>
      <c r="C5" s="427" t="s">
        <v>56</v>
      </c>
      <c r="D5" s="427" t="s">
        <v>43</v>
      </c>
      <c r="E5" s="428" t="s">
        <v>70</v>
      </c>
      <c r="F5" s="428" t="s">
        <v>71</v>
      </c>
      <c r="G5" s="428" t="s">
        <v>4</v>
      </c>
      <c r="H5" s="428" t="s">
        <v>5</v>
      </c>
      <c r="I5" s="429" t="s">
        <v>49</v>
      </c>
      <c r="J5" s="429" t="s">
        <v>50</v>
      </c>
      <c r="K5" s="429" t="s">
        <v>137</v>
      </c>
      <c r="L5" s="429" t="s">
        <v>139</v>
      </c>
      <c r="M5" s="430" t="s">
        <v>53</v>
      </c>
      <c r="N5" s="431" t="s">
        <v>54</v>
      </c>
      <c r="O5"/>
      <c r="P5"/>
    </row>
    <row r="6" spans="2:28" s="64" customFormat="1" ht="24.75" customHeight="1">
      <c r="B6" s="432">
        <v>5</v>
      </c>
      <c r="C6" s="433" t="str">
        <f>INDEX('Project List '!$C$6:$C$21, MATCH('T-Transportation'!B6,'Project List '!$B$6:$B$21,0))</f>
        <v>Twinning of 32 Street from North Railway Street to 338 Avenue</v>
      </c>
      <c r="D6" s="434" t="str">
        <f>INDEX('Project List '!$D$6:$D$21, MATCH('T-Transportation'!B6,'Project List '!$B$6:$B$21,0))</f>
        <v>From 2-lane to 4-lane (3270 metres)</v>
      </c>
      <c r="E6" s="435" t="str">
        <f>INDEX('Project List '!$E$6:$E$21, MATCH('T-Transportation'!B6,'Project List '!$B$6:$B$21,0))</f>
        <v>Town</v>
      </c>
      <c r="F6" s="435" t="str">
        <f>INDEX('Project List '!$F$6:$F$21, MATCH('T-Transportation'!B6,'Project List '!$B$6:$B$21,0))</f>
        <v>OSL</v>
      </c>
      <c r="G6" s="435">
        <f>INDEX('Project List '!$G$6:$G$21, MATCH('T-Transportation'!B6,'Project List '!$B$6:$B$21,0))</f>
        <v>2036</v>
      </c>
      <c r="H6" s="435">
        <f>INDEX('Project List '!$H$6:$H$21, MATCH('T-Transportation'!B6,'Project List '!$B$6:$B$21,0))</f>
        <v>2045</v>
      </c>
      <c r="I6" s="597">
        <f>INDEX('Project List '!$I$6:$I$21, MATCH('T-Transportation'!B6,'Project List '!$B$6:$B$21,0))</f>
        <v>0.503</v>
      </c>
      <c r="J6" s="597">
        <f>INDEX('Project List '!$J$6:$J$21, MATCH('T-Transportation'!B6,'Project List '!$B$6:$B$21,0))</f>
        <v>0.497</v>
      </c>
      <c r="K6" s="601">
        <f>INDEX('Project List '!$X$6:$X$21, MATCH('T-Transportation'!B6,'Project List '!$B$6:$B$21,0))</f>
        <v>11880467.499999996</v>
      </c>
      <c r="L6" s="602">
        <f>INDEX('Project List '!$AF$6:$AF$21, MATCH('T-Transportation'!B6,'Project List '!$B$6:$B$21,0))</f>
        <v>11880467.499999996</v>
      </c>
      <c r="M6" s="603">
        <f>INDEX('Project List '!$AI$6:$AI$21, MATCH('T-Transportation'!B6,'Project List '!$B$6:$B$21,0))</f>
        <v>5975875.152499998</v>
      </c>
      <c r="N6" s="604">
        <f>INDEX('Project List '!$AJ$6:$AJ$21, MATCH('T-Transportation'!B6,'Project List '!$B$6:$B$21,0))</f>
        <v>5904592.3474999983</v>
      </c>
      <c r="O6"/>
      <c r="P6"/>
    </row>
    <row r="7" spans="2:28" s="64" customFormat="1" ht="24.75" customHeight="1">
      <c r="B7" s="432" t="s">
        <v>267</v>
      </c>
      <c r="C7" s="433" t="str">
        <f>INDEX('Project List '!$C$6:$C$21, MATCH('T-Transportation'!B7,'Project List '!$B$6:$B$21,0))</f>
        <v xml:space="preserve">Northridge Drive Urbanization Phase 3 </v>
      </c>
      <c r="D7" s="434" t="str">
        <f>INDEX('Project List '!$D$6:$D$21, MATCH('T-Transportation'!B7,'Project List '!$B$6:$B$21,0))</f>
        <v>Includes urbanization of the west side of Northridge Drive from Sandstone Gate to Spring Gate</v>
      </c>
      <c r="E7" s="435" t="str">
        <f>INDEX('Project List '!$E$6:$E$21, MATCH('T-Transportation'!B7,'Project List '!$B$6:$B$21,0))</f>
        <v>Town</v>
      </c>
      <c r="F7" s="435" t="str">
        <f>INDEX('Project List '!$F$6:$F$21, MATCH('T-Transportation'!B7,'Project List '!$B$6:$B$21,0))</f>
        <v>OSL</v>
      </c>
      <c r="G7" s="435">
        <f>INDEX('Project List '!$G$6:$G$21, MATCH('T-Transportation'!B7,'Project List '!$B$6:$B$21,0))</f>
        <v>2026</v>
      </c>
      <c r="H7" s="435">
        <f>INDEX('Project List '!$H$6:$H$21, MATCH('T-Transportation'!B7,'Project List '!$B$6:$B$21,0))</f>
        <v>2026</v>
      </c>
      <c r="I7" s="597">
        <f>INDEX('Project List '!$I$6:$I$21, MATCH('T-Transportation'!B7,'Project List '!$B$6:$B$21,0))</f>
        <v>0.75</v>
      </c>
      <c r="J7" s="597">
        <f>INDEX('Project List '!$J$6:$J$21, MATCH('T-Transportation'!B7,'Project List '!$B$6:$B$21,0))</f>
        <v>0.25</v>
      </c>
      <c r="K7" s="601">
        <f>INDEX('Project List '!$X$6:$X$21, MATCH('T-Transportation'!B7,'Project List '!$B$6:$B$21,0))</f>
        <v>47347</v>
      </c>
      <c r="L7" s="602">
        <f>INDEX('Project List '!$AF$6:$AF$21, MATCH('T-Transportation'!B7,'Project List '!$B$6:$B$21,0))</f>
        <v>47347</v>
      </c>
      <c r="M7" s="603">
        <f>INDEX('Project List '!$AI$6:$AI$21, MATCH('T-Transportation'!B7,'Project List '!$B$6:$B$21,0))</f>
        <v>35510.25</v>
      </c>
      <c r="N7" s="604">
        <f>INDEX('Project List '!$AJ$6:$AJ$21, MATCH('T-Transportation'!B7,'Project List '!$B$6:$B$21,0))</f>
        <v>11836.75</v>
      </c>
      <c r="O7"/>
      <c r="P7"/>
    </row>
    <row r="8" spans="2:28" s="64" customFormat="1" ht="24.75" customHeight="1">
      <c r="B8" s="432">
        <v>8</v>
      </c>
      <c r="C8" s="433" t="str">
        <f>INDEX('Project List '!$C$6:$C$21, MATCH('T-Transportation'!B8,'Project List '!$B$6:$B$21,0))</f>
        <v xml:space="preserve">Intersection Improvements - Southridge Drive and HWY 7 </v>
      </c>
      <c r="D8" s="434" t="str">
        <f>INDEX('Project List '!$D$6:$D$21, MATCH('T-Transportation'!B8,'Project List '!$B$6:$B$21,0))</f>
        <v>Southbound and westbound left lanes, 1 EBT lane, 1 WBT lane, 1 NBT lane and 1 SBT lane inbound and outbound, 1 Left turn bay at EB approach + 1 Left turn bay at SB + acceleration lane for WB free right turn</v>
      </c>
      <c r="E8" s="435" t="str">
        <f>INDEX('Project List '!$E$6:$E$21, MATCH('T-Transportation'!B8,'Project List '!$B$6:$B$21,0))</f>
        <v>Town</v>
      </c>
      <c r="F8" s="435" t="str">
        <f>INDEX('Project List '!$F$6:$F$21, MATCH('T-Transportation'!B8,'Project List '!$B$6:$B$21,0))</f>
        <v xml:space="preserve">OSL </v>
      </c>
      <c r="G8" s="435">
        <f>INDEX('Project List '!$G$6:$G$21, MATCH('T-Transportation'!B8,'Project List '!$B$6:$B$21,0))</f>
        <v>2028</v>
      </c>
      <c r="H8" s="435">
        <f>INDEX('Project List '!$H$6:$H$21, MATCH('T-Transportation'!B8,'Project List '!$B$6:$B$21,0))</f>
        <v>2035</v>
      </c>
      <c r="I8" s="597">
        <f>INDEX('Project List '!$I$6:$I$21, MATCH('T-Transportation'!B8,'Project List '!$B$6:$B$21,0))</f>
        <v>0.503</v>
      </c>
      <c r="J8" s="597">
        <f>INDEX('Project List '!$J$6:$J$21, MATCH('T-Transportation'!B8,'Project List '!$B$6:$B$21,0))</f>
        <v>0.497</v>
      </c>
      <c r="K8" s="601">
        <f>INDEX('Project List '!$X$6:$X$21, MATCH('T-Transportation'!B8,'Project List '!$B$6:$B$21,0))</f>
        <v>2820928.1249999991</v>
      </c>
      <c r="L8" s="602">
        <f>INDEX('Project List '!$AF$6:$AF$21, MATCH('T-Transportation'!B8,'Project List '!$B$6:$B$21,0))</f>
        <v>2820928.1249999991</v>
      </c>
      <c r="M8" s="603">
        <f>INDEX('Project List '!$AI$6:$AI$21, MATCH('T-Transportation'!B8,'Project List '!$B$6:$B$21,0))</f>
        <v>1418926.8468749996</v>
      </c>
      <c r="N8" s="604">
        <f>INDEX('Project List '!$AJ$6:$AJ$21, MATCH('T-Transportation'!B8,'Project List '!$B$6:$B$21,0))</f>
        <v>1402001.2781249995</v>
      </c>
      <c r="O8"/>
      <c r="P8"/>
    </row>
    <row r="9" spans="2:28" s="64" customFormat="1" ht="24.75" customHeight="1">
      <c r="B9" s="432">
        <v>33</v>
      </c>
      <c r="C9" s="433" t="str">
        <f>INDEX('Project List '!$C$6:$C$21, MATCH('T-Transportation'!B9,'Project List '!$B$6:$B$21,0))</f>
        <v xml:space="preserve"> Northridge Drive and 338 Avenue</v>
      </c>
      <c r="D9" s="434" t="str">
        <f>INDEX('Project List '!$D$6:$D$21, MATCH('T-Transportation'!B9,'Project List '!$B$6:$B$21,0))</f>
        <v>Southbound Dual Left Turn</v>
      </c>
      <c r="E9" s="435" t="str">
        <f>INDEX('Project List '!$E$6:$E$21, MATCH('T-Transportation'!B9,'Project List '!$B$6:$B$21,0))</f>
        <v>Town</v>
      </c>
      <c r="F9" s="435" t="str">
        <f>INDEX('Project List '!$F$6:$F$21, MATCH('T-Transportation'!B9,'Project List '!$B$6:$B$21,0))</f>
        <v xml:space="preserve">OSL </v>
      </c>
      <c r="G9" s="435">
        <f>INDEX('Project List '!$G$6:$G$21, MATCH('T-Transportation'!B9,'Project List '!$B$6:$B$21,0))</f>
        <v>2040</v>
      </c>
      <c r="H9" s="435">
        <f>INDEX('Project List '!$H$6:$H$21, MATCH('T-Transportation'!B9,'Project List '!$B$6:$B$21,0))</f>
        <v>2042</v>
      </c>
      <c r="I9" s="597">
        <f>INDEX('Project List '!$I$6:$I$21, MATCH('T-Transportation'!B9,'Project List '!$B$6:$B$21,0))</f>
        <v>0.503</v>
      </c>
      <c r="J9" s="597">
        <f>INDEX('Project List '!$J$6:$J$21, MATCH('T-Transportation'!B9,'Project List '!$B$6:$B$21,0))</f>
        <v>0.497</v>
      </c>
      <c r="K9" s="601">
        <f>INDEX('Project List '!$X$6:$X$21, MATCH('T-Transportation'!B9,'Project List '!$B$6:$B$21,0))</f>
        <v>219580.62499999994</v>
      </c>
      <c r="L9" s="602">
        <f>INDEX('Project List '!$AF$6:$AF$21, MATCH('T-Transportation'!B9,'Project List '!$B$6:$B$21,0))</f>
        <v>219580.62499999994</v>
      </c>
      <c r="M9" s="603">
        <f>INDEX('Project List '!$AI$6:$AI$21, MATCH('T-Transportation'!B9,'Project List '!$B$6:$B$21,0))</f>
        <v>110449.05437499998</v>
      </c>
      <c r="N9" s="604">
        <f>INDEX('Project List '!$AJ$6:$AJ$21, MATCH('T-Transportation'!B9,'Project List '!$B$6:$B$21,0))</f>
        <v>109131.57062499996</v>
      </c>
      <c r="O9"/>
      <c r="P9"/>
    </row>
    <row r="10" spans="2:28" ht="24.75" customHeight="1">
      <c r="B10" s="432">
        <v>64</v>
      </c>
      <c r="C10" s="433" t="str">
        <f>INDEX('Project List '!$C$6:$C$21, MATCH('T-Transportation'!B10,'Project List '!$B$6:$B$21,0))</f>
        <v>Intersection Improvements - 32 Street and HWY 7</v>
      </c>
      <c r="D10" s="434" t="str">
        <f>INDEX('Project List '!$D$6:$D$21, MATCH('T-Transportation'!B10,'Project List '!$B$6:$B$21,0))</f>
        <v>Adding acceleration lane for free SB right turn + restriping SB approach from one left + one shared left / through + one right to one left turn lane + one through lane + one right turn lane, Additional EBT and WBT lanes (in and out) + one SBL left turn bay + one WBL turn lane</v>
      </c>
      <c r="E10" s="435" t="str">
        <f>INDEX('Project List '!$E$6:$E$21, MATCH('T-Transportation'!B10,'Project List '!$B$6:$B$21,0))</f>
        <v>Town</v>
      </c>
      <c r="F10" s="435" t="str">
        <f>INDEX('Project List '!$F$6:$F$21, MATCH('T-Transportation'!B10,'Project List '!$B$6:$B$21,0))</f>
        <v xml:space="preserve">OSL </v>
      </c>
      <c r="G10" s="435">
        <f>INDEX('Project List '!$G$6:$G$21, MATCH('T-Transportation'!B10,'Project List '!$B$6:$B$21,0))</f>
        <v>2028</v>
      </c>
      <c r="H10" s="435">
        <f>INDEX('Project List '!$H$6:$H$21, MATCH('T-Transportation'!B10,'Project List '!$B$6:$B$21,0))</f>
        <v>2030</v>
      </c>
      <c r="I10" s="597">
        <f>INDEX('Project List '!$I$6:$I$21, MATCH('T-Transportation'!B10,'Project List '!$B$6:$B$21,0))</f>
        <v>0.503</v>
      </c>
      <c r="J10" s="597">
        <f>INDEX('Project List '!$J$6:$J$21, MATCH('T-Transportation'!B10,'Project List '!$B$6:$B$21,0))</f>
        <v>0.497</v>
      </c>
      <c r="K10" s="601">
        <f>INDEX('Project List '!$X$6:$X$21, MATCH('T-Transportation'!B10,'Project List '!$B$6:$B$21,0))</f>
        <v>1518153.1249999995</v>
      </c>
      <c r="L10" s="602">
        <f>INDEX('Project List '!$AF$6:$AF$21, MATCH('T-Transportation'!B10,'Project List '!$B$6:$B$21,0))</f>
        <v>1518153.1249999995</v>
      </c>
      <c r="M10" s="603">
        <f>INDEX('Project List '!$AI$6:$AI$21, MATCH('T-Transportation'!B10,'Project List '!$B$6:$B$21,0))</f>
        <v>763631.02187499974</v>
      </c>
      <c r="N10" s="604">
        <f>INDEX('Project List '!$AJ$6:$AJ$21, MATCH('T-Transportation'!B10,'Project List '!$B$6:$B$21,0))</f>
        <v>754522.10312499979</v>
      </c>
      <c r="O10"/>
      <c r="P10"/>
      <c r="Q10" s="64"/>
      <c r="R10" s="64"/>
      <c r="S10" s="64"/>
      <c r="T10" s="64"/>
      <c r="U10" s="64"/>
      <c r="V10" s="64"/>
      <c r="W10" s="64"/>
      <c r="X10" s="64"/>
      <c r="Y10" s="64"/>
      <c r="Z10" s="64"/>
      <c r="AA10" s="64"/>
      <c r="AB10" s="64"/>
    </row>
    <row r="11" spans="2:28" ht="24.75" customHeight="1">
      <c r="B11" s="432">
        <v>67</v>
      </c>
      <c r="C11" s="433" t="str">
        <f>INDEX('Project List '!$C$6:$C$21, MATCH('T-Transportation'!B11,'Project List '!$B$6:$B$21,0))</f>
        <v>Twinning 32 Street from Southbank Road to North Railway Street</v>
      </c>
      <c r="D11" s="434" t="str">
        <f>INDEX('Project List '!$D$6:$D$21, MATCH('T-Transportation'!B11,'Project List '!$B$6:$B$21,0))</f>
        <v>From 2-lane to 4-lane (550 metres + 2 bridges)</v>
      </c>
      <c r="E11" s="435" t="str">
        <f>INDEX('Project List '!$E$6:$E$21, MATCH('T-Transportation'!B11,'Project List '!$B$6:$B$21,0))</f>
        <v>Town</v>
      </c>
      <c r="F11" s="435" t="str">
        <f>INDEX('Project List '!$F$6:$F$21, MATCH('T-Transportation'!B11,'Project List '!$B$6:$B$21,0))</f>
        <v xml:space="preserve">OSL </v>
      </c>
      <c r="G11" s="435">
        <f>INDEX('Project List '!$G$6:$G$21, MATCH('T-Transportation'!B11,'Project List '!$B$6:$B$21,0))</f>
        <v>2036</v>
      </c>
      <c r="H11" s="435">
        <f>INDEX('Project List '!$H$6:$H$21, MATCH('T-Transportation'!B11,'Project List '!$B$6:$B$21,0))</f>
        <v>2045</v>
      </c>
      <c r="I11" s="597">
        <f>INDEX('Project List '!$I$6:$I$21, MATCH('T-Transportation'!B11,'Project List '!$B$6:$B$21,0))</f>
        <v>0.503</v>
      </c>
      <c r="J11" s="597">
        <f>INDEX('Project List '!$J$6:$J$21, MATCH('T-Transportation'!B11,'Project List '!$B$6:$B$21,0))</f>
        <v>0.497</v>
      </c>
      <c r="K11" s="601">
        <f>INDEX('Project List '!$X$6:$X$21, MATCH('T-Transportation'!B11,'Project List '!$B$6:$B$21,0))</f>
        <v>22560070.624999993</v>
      </c>
      <c r="L11" s="602">
        <f>INDEX('Project List '!$AF$6:$AF$21, MATCH('T-Transportation'!B11,'Project List '!$B$6:$B$21,0))</f>
        <v>22560070.624999993</v>
      </c>
      <c r="M11" s="603">
        <f>INDEX('Project List '!$AI$6:$AI$21, MATCH('T-Transportation'!B11,'Project List '!$B$6:$B$21,0))</f>
        <v>11347715.524374997</v>
      </c>
      <c r="N11" s="604">
        <f>INDEX('Project List '!$AJ$6:$AJ$21, MATCH('T-Transportation'!B11,'Project List '!$B$6:$B$21,0))</f>
        <v>11212355.100624995</v>
      </c>
      <c r="O11"/>
      <c r="P11"/>
      <c r="Q11" s="64"/>
      <c r="R11" s="64"/>
      <c r="S11" s="64"/>
      <c r="T11" s="64"/>
      <c r="U11" s="64"/>
      <c r="V11" s="64"/>
      <c r="W11" s="64"/>
      <c r="X11" s="64"/>
      <c r="Y11" s="64"/>
      <c r="Z11" s="64"/>
      <c r="AA11" s="64"/>
      <c r="AB11" s="64"/>
    </row>
    <row r="12" spans="2:28" ht="24.75" customHeight="1">
      <c r="B12" s="432">
        <v>71</v>
      </c>
      <c r="C12" s="433" t="str">
        <f>INDEX('Project List '!$C$6:$C$21, MATCH('T-Transportation'!B12,'Project List '!$B$6:$B$21,0))</f>
        <v>Milligan Drive and 32 Street</v>
      </c>
      <c r="D12" s="434" t="str">
        <f>INDEX('Project List '!$D$6:$D$21, MATCH('T-Transportation'!B12,'Project List '!$B$6:$B$21,0))</f>
        <v>Adding one SBL turn lane + one EBR turn lane</v>
      </c>
      <c r="E12" s="435" t="str">
        <f>INDEX('Project List '!$E$6:$E$21, MATCH('T-Transportation'!B12,'Project List '!$B$6:$B$21,0))</f>
        <v>Town</v>
      </c>
      <c r="F12" s="435" t="str">
        <f>INDEX('Project List '!$F$6:$F$21, MATCH('T-Transportation'!B12,'Project List '!$B$6:$B$21,0))</f>
        <v xml:space="preserve">OSL </v>
      </c>
      <c r="G12" s="435">
        <f>INDEX('Project List '!$G$6:$G$21, MATCH('T-Transportation'!B12,'Project List '!$B$6:$B$21,0))</f>
        <v>2027</v>
      </c>
      <c r="H12" s="435">
        <f>INDEX('Project List '!$H$6:$H$21, MATCH('T-Transportation'!B12,'Project List '!$B$6:$B$21,0))</f>
        <v>2028</v>
      </c>
      <c r="I12" s="597">
        <f>INDEX('Project List '!$I$6:$I$21, MATCH('T-Transportation'!B12,'Project List '!$B$6:$B$21,0))</f>
        <v>0.503</v>
      </c>
      <c r="J12" s="597">
        <f>INDEX('Project List '!$J$6:$J$21, MATCH('T-Transportation'!B12,'Project List '!$B$6:$B$21,0))</f>
        <v>0.497</v>
      </c>
      <c r="K12" s="601">
        <f>INDEX('Project List '!$X$6:$X$21, MATCH('T-Transportation'!B12,'Project List '!$B$6:$B$21,0))</f>
        <v>200669.37499999994</v>
      </c>
      <c r="L12" s="602">
        <f>INDEX('Project List '!$AF$6:$AF$21, MATCH('T-Transportation'!B12,'Project List '!$B$6:$B$21,0))</f>
        <v>200669.37499999994</v>
      </c>
      <c r="M12" s="603">
        <f>INDEX('Project List '!$AI$6:$AI$21, MATCH('T-Transportation'!B12,'Project List '!$B$6:$B$21,0))</f>
        <v>100936.69562499998</v>
      </c>
      <c r="N12" s="604">
        <f>INDEX('Project List '!$AJ$6:$AJ$21, MATCH('T-Transportation'!B12,'Project List '!$B$6:$B$21,0))</f>
        <v>99732.679374999963</v>
      </c>
      <c r="O12"/>
      <c r="P12"/>
      <c r="Q12" s="64"/>
      <c r="R12" s="64"/>
      <c r="S12" s="64"/>
      <c r="T12" s="64"/>
      <c r="U12" s="64"/>
      <c r="V12" s="64"/>
      <c r="W12" s="64"/>
      <c r="X12" s="64"/>
      <c r="Y12" s="64"/>
      <c r="Z12" s="64"/>
      <c r="AA12" s="64"/>
      <c r="AB12" s="64"/>
    </row>
    <row r="13" spans="2:28" ht="24.75" customHeight="1">
      <c r="B13" s="432">
        <v>72</v>
      </c>
      <c r="C13" s="433" t="str">
        <f>INDEX('Project List '!$C$6:$C$21, MATCH('T-Transportation'!B13,'Project List '!$B$6:$B$21,0))</f>
        <v>North Railway Street/32 Street</v>
      </c>
      <c r="D13" s="434" t="str">
        <f>INDEX('Project List '!$D$6:$D$21, MATCH('T-Transportation'!B13,'Project List '!$B$6:$B$21,0))</f>
        <v>Adding one NBL turn lane + one WBL turn lane + acceleration lane for free EB right turn movement</v>
      </c>
      <c r="E13" s="435" t="str">
        <f>INDEX('Project List '!$E$6:$E$21, MATCH('T-Transportation'!B13,'Project List '!$B$6:$B$21,0))</f>
        <v>Town</v>
      </c>
      <c r="F13" s="435" t="str">
        <f>INDEX('Project List '!$F$6:$F$21, MATCH('T-Transportation'!B13,'Project List '!$B$6:$B$21,0))</f>
        <v xml:space="preserve">OSL </v>
      </c>
      <c r="G13" s="435">
        <f>INDEX('Project List '!$G$6:$G$21, MATCH('T-Transportation'!B13,'Project List '!$B$6:$B$21,0))</f>
        <v>2040</v>
      </c>
      <c r="H13" s="435">
        <f>INDEX('Project List '!$H$6:$H$21, MATCH('T-Transportation'!B13,'Project List '!$B$6:$B$21,0))</f>
        <v>2041</v>
      </c>
      <c r="I13" s="597">
        <f>INDEX('Project List '!$I$6:$I$21, MATCH('T-Transportation'!B13,'Project List '!$B$6:$B$21,0))</f>
        <v>0.503</v>
      </c>
      <c r="J13" s="597">
        <f>INDEX('Project List '!$J$6:$J$21, MATCH('T-Transportation'!B13,'Project List '!$B$6:$B$21,0))</f>
        <v>0.497</v>
      </c>
      <c r="K13" s="601">
        <f>INDEX('Project List '!$X$6:$X$21, MATCH('T-Transportation'!B13,'Project List '!$B$6:$B$21,0))</f>
        <v>534768.12499999988</v>
      </c>
      <c r="L13" s="602">
        <f>INDEX('Project List '!$AF$6:$AF$21, MATCH('T-Transportation'!B13,'Project List '!$B$6:$B$21,0))</f>
        <v>534768.12499999988</v>
      </c>
      <c r="M13" s="603">
        <f>INDEX('Project List '!$AI$6:$AI$21, MATCH('T-Transportation'!B13,'Project List '!$B$6:$B$21,0))</f>
        <v>268988.36687499995</v>
      </c>
      <c r="N13" s="604">
        <f>INDEX('Project List '!$AJ$6:$AJ$21, MATCH('T-Transportation'!B13,'Project List '!$B$6:$B$21,0))</f>
        <v>265779.75812499993</v>
      </c>
      <c r="O13"/>
      <c r="P13"/>
      <c r="Q13" s="64"/>
      <c r="R13" s="64"/>
      <c r="S13" s="64"/>
      <c r="T13" s="64"/>
      <c r="U13" s="64"/>
      <c r="V13" s="64"/>
      <c r="W13" s="64"/>
      <c r="X13" s="64"/>
      <c r="Y13" s="64"/>
      <c r="Z13" s="64"/>
      <c r="AA13" s="64"/>
      <c r="AB13" s="64"/>
    </row>
    <row r="14" spans="2:28" ht="24.75" customHeight="1">
      <c r="B14" s="432">
        <v>73</v>
      </c>
      <c r="C14" s="433" t="str">
        <f>INDEX('Project List '!$C$6:$C$21, MATCH('T-Transportation'!B14,'Project List '!$B$6:$B$21,0))</f>
        <v>Southbank Road and 32 Street</v>
      </c>
      <c r="D14" s="434" t="str">
        <f>INDEX('Project List '!$D$6:$D$21, MATCH('T-Transportation'!B14,'Project List '!$B$6:$B$21,0))</f>
        <v>Adding one SBL turn lane + acceleration lane for free WB right turn</v>
      </c>
      <c r="E14" s="435" t="str">
        <f>INDEX('Project List '!$E$6:$E$21, MATCH('T-Transportation'!B14,'Project List '!$B$6:$B$21,0))</f>
        <v>Town</v>
      </c>
      <c r="F14" s="435" t="str">
        <f>INDEX('Project List '!$F$6:$F$21, MATCH('T-Transportation'!B14,'Project List '!$B$6:$B$21,0))</f>
        <v xml:space="preserve">OSL </v>
      </c>
      <c r="G14" s="435">
        <f>INDEX('Project List '!$G$6:$G$21, MATCH('T-Transportation'!B14,'Project List '!$B$6:$B$21,0))</f>
        <v>2040</v>
      </c>
      <c r="H14" s="435">
        <f>INDEX('Project List '!$H$6:$H$21, MATCH('T-Transportation'!B14,'Project List '!$B$6:$B$21,0))</f>
        <v>2041</v>
      </c>
      <c r="I14" s="597">
        <f>INDEX('Project List '!$I$6:$I$21, MATCH('T-Transportation'!B14,'Project List '!$B$6:$B$21,0))</f>
        <v>0.503</v>
      </c>
      <c r="J14" s="597">
        <f>INDEX('Project List '!$J$6:$J$21, MATCH('T-Transportation'!B14,'Project List '!$B$6:$B$21,0))</f>
        <v>0.497</v>
      </c>
      <c r="K14" s="601">
        <f>INDEX('Project List '!$X$6:$X$21, MATCH('T-Transportation'!B14,'Project List '!$B$6:$B$21,0))</f>
        <v>410794.37499999988</v>
      </c>
      <c r="L14" s="602">
        <f>INDEX('Project List '!$AF$6:$AF$21, MATCH('T-Transportation'!B14,'Project List '!$B$6:$B$21,0))</f>
        <v>410794.37499999988</v>
      </c>
      <c r="M14" s="603">
        <f>INDEX('Project List '!$AI$6:$AI$21, MATCH('T-Transportation'!B14,'Project List '!$B$6:$B$21,0))</f>
        <v>206629.57062499993</v>
      </c>
      <c r="N14" s="604">
        <f>INDEX('Project List '!$AJ$6:$AJ$21, MATCH('T-Transportation'!B14,'Project List '!$B$6:$B$21,0))</f>
        <v>204164.80437499995</v>
      </c>
      <c r="O14"/>
      <c r="P14"/>
      <c r="Q14" s="64"/>
      <c r="R14" s="64"/>
      <c r="S14" s="64"/>
      <c r="T14" s="64"/>
      <c r="U14" s="64"/>
      <c r="V14" s="64"/>
      <c r="W14" s="64"/>
      <c r="X14" s="64"/>
      <c r="Y14" s="64"/>
      <c r="Z14" s="64"/>
      <c r="AA14" s="64"/>
      <c r="AB14" s="64"/>
    </row>
    <row r="15" spans="2:28" ht="24.75" customHeight="1">
      <c r="B15" s="432">
        <v>81</v>
      </c>
      <c r="C15" s="433" t="str">
        <f>INDEX('Project List '!$C$6:$C$21, MATCH('T-Transportation'!B15,'Project List '!$B$6:$B$21,0))</f>
        <v>Northridge Drive and Northgate Circle Storm Contribution</v>
      </c>
      <c r="D15" s="434" t="str">
        <f>INDEX('Project List '!$D$6:$D$21, MATCH('T-Transportation'!B15,'Project List '!$B$6:$B$21,0))</f>
        <v>Reduces and Diverts Stormwater Runoff Generated on Northridge Drive on Downstream Users</v>
      </c>
      <c r="E15" s="435" t="str">
        <f>INDEX('Project List '!$E$6:$E$21, MATCH('T-Transportation'!B15,'Project List '!$B$6:$B$21,0))</f>
        <v>Town</v>
      </c>
      <c r="F15" s="435" t="str">
        <f>INDEX('Project List '!$F$6:$F$21, MATCH('T-Transportation'!B15,'Project List '!$B$6:$B$21,0))</f>
        <v xml:space="preserve">OSL </v>
      </c>
      <c r="G15" s="435">
        <f>INDEX('Project List '!$G$6:$G$21, MATCH('T-Transportation'!B15,'Project List '!$B$6:$B$21,0))</f>
        <v>2027</v>
      </c>
      <c r="H15" s="435">
        <f>INDEX('Project List '!$H$6:$H$21, MATCH('T-Transportation'!B15,'Project List '!$B$6:$B$21,0))</f>
        <v>2027</v>
      </c>
      <c r="I15" s="597">
        <f>INDEX('Project List '!$I$6:$I$21, MATCH('T-Transportation'!B15,'Project List '!$B$6:$B$21,F72))</f>
        <v>0.75</v>
      </c>
      <c r="J15" s="597">
        <f>INDEX('Project List '!$J$6:$J$21, MATCH('T-Transportation'!B15,'Project List '!$B$6:$B$21,0))</f>
        <v>0.25</v>
      </c>
      <c r="K15" s="601">
        <f>INDEX('Project List '!$X$6:$X$21, MATCH('T-Transportation'!B15,'Project List '!$B$6:$B$21,0))</f>
        <v>687056.21874999988</v>
      </c>
      <c r="L15" s="602">
        <f>INDEX('Project List '!$AF$6:$AF$21, MATCH('T-Transportation'!B15,'Project List '!$B$6:$B$21,0))</f>
        <v>687056.21874999988</v>
      </c>
      <c r="M15" s="603">
        <f>INDEX('Project List '!$AI$6:$AI$21, MATCH('T-Transportation'!B15,'Project List '!$B$6:$B$21,0))</f>
        <v>515292.16406249988</v>
      </c>
      <c r="N15" s="604">
        <f>INDEX('Project List '!$AJ$6:$AJ$21, MATCH('T-Transportation'!B15,'Project List '!$B$6:$B$21,0))</f>
        <v>171764.05468749997</v>
      </c>
      <c r="O15"/>
      <c r="P15"/>
      <c r="Q15" s="64"/>
      <c r="R15" s="64"/>
      <c r="S15" s="64"/>
      <c r="T15" s="64"/>
      <c r="U15" s="64"/>
      <c r="V15" s="64"/>
      <c r="W15" s="64"/>
      <c r="X15" s="64"/>
      <c r="Y15" s="64"/>
      <c r="Z15" s="64"/>
      <c r="AA15" s="64"/>
      <c r="AB15" s="64"/>
    </row>
    <row r="16" spans="2:28" ht="24.75" customHeight="1">
      <c r="B16" s="432">
        <v>90</v>
      </c>
      <c r="C16" s="433" t="str">
        <f>INDEX('Project List '!$C$6:$C$21, MATCH('T-Transportation'!B16,'Project List '!$B$6:$B$21,0))</f>
        <v>338 Ave and 32 Street Intersection Improvements</v>
      </c>
      <c r="D16" s="434" t="str">
        <f>INDEX('Project List '!$D$6:$D$21, MATCH('T-Transportation'!B16,'Project List '!$B$6:$B$21,0))</f>
        <v xml:space="preserve">Roundabout at the intersection of 338 Ave and 32 Street. </v>
      </c>
      <c r="E16" s="435" t="str">
        <f>INDEX('Project List '!$E$6:$E$21, MATCH('T-Transportation'!B16,'Project List '!$B$6:$B$21,0))</f>
        <v>Town</v>
      </c>
      <c r="F16" s="435" t="str">
        <f>INDEX('Project List '!$F$6:$F$21, MATCH('T-Transportation'!B16,'Project List '!$B$6:$B$21,0))</f>
        <v xml:space="preserve">OSL </v>
      </c>
      <c r="G16" s="435">
        <f>INDEX('Project List '!$G$6:$G$21, MATCH('T-Transportation'!B16,'Project List '!$B$6:$B$21,0))</f>
        <v>2027</v>
      </c>
      <c r="H16" s="435">
        <f>INDEX('Project List '!$H$6:$H$21, MATCH('T-Transportation'!B16,'Project List '!$B$6:$B$21,0))</f>
        <v>2028</v>
      </c>
      <c r="I16" s="597">
        <f>INDEX('Project List '!$I$6:$I$21, MATCH('T-Transportation'!B16,'Project List '!$B$6:$B$21,0))</f>
        <v>0.503</v>
      </c>
      <c r="J16" s="597">
        <f>INDEX('Project List '!$J$6:$J$21, MATCH('T-Transportation'!B16,'Project List '!$B$6:$B$21,0))</f>
        <v>0.497</v>
      </c>
      <c r="K16" s="601">
        <f>INDEX('Project List '!$X$6:$X$21, MATCH('T-Transportation'!B16,'Project List '!$B$6:$B$21,0))</f>
        <v>870158.37499999988</v>
      </c>
      <c r="L16" s="602">
        <f>INDEX('Project List '!$AF$6:$AF$21, MATCH('T-Transportation'!B16,'Project List '!$B$6:$B$21,0))</f>
        <v>870158.37499999988</v>
      </c>
      <c r="M16" s="603">
        <f>INDEX('Project List '!$AI$6:$AI$21, MATCH('T-Transportation'!B16,'Project List '!$B$6:$B$21,0))</f>
        <v>437689.66262499994</v>
      </c>
      <c r="N16" s="604">
        <f>INDEX('Project List '!$AJ$6:$AJ$21, MATCH('T-Transportation'!B16,'Project List '!$B$6:$B$21,0))</f>
        <v>432468.71237499994</v>
      </c>
      <c r="O16"/>
      <c r="P16"/>
      <c r="Q16" s="64"/>
      <c r="R16" s="64"/>
      <c r="S16" s="64"/>
      <c r="T16" s="64"/>
      <c r="U16" s="64"/>
      <c r="V16" s="64"/>
      <c r="W16" s="64"/>
      <c r="X16" s="64"/>
      <c r="Y16" s="64"/>
      <c r="Z16" s="64"/>
      <c r="AA16" s="64"/>
      <c r="AB16" s="64"/>
    </row>
    <row r="17" spans="2:28" ht="24.75" customHeight="1" thickBot="1">
      <c r="B17" s="526" t="s">
        <v>156</v>
      </c>
      <c r="C17" s="527" t="str">
        <f>INDEX('Project List '!$C$6:$C$21, MATCH('T-Transportation'!B17,'Project List '!$B$6:$B$21,0))</f>
        <v>338 Avenue Expansion from Northridge Drive to Highway 2 - Functional Plan &amp; Detailed Design</v>
      </c>
      <c r="D17" s="528" t="str">
        <f>INDEX('Project List '!$D$6:$D$21, MATCH('T-Transportation'!B17,'Project List '!$B$6:$B$21,0))</f>
        <v>From 2-lane to 4-lane (3200 metres)
From 2-lane to 6-lane (1400 metres)</v>
      </c>
      <c r="E17" s="529" t="str">
        <f>INDEX('Project List '!$E$6:$E$21, MATCH('T-Transportation'!B17,'Project List '!$B$6:$B$21,0))</f>
        <v>Town</v>
      </c>
      <c r="F17" s="529" t="str">
        <f>INDEX('Project List '!$F$6:$F$21, MATCH('T-Transportation'!B17,'Project List '!$B$6:$B$21,0))</f>
        <v>OSL</v>
      </c>
      <c r="G17" s="529">
        <f>INDEX('Project List '!$G$6:$G$21, MATCH('T-Transportation'!B17,'Project List '!$B$6:$B$21,0))</f>
        <v>2026</v>
      </c>
      <c r="H17" s="529">
        <f>INDEX('Project List '!$H$6:$H$21, MATCH('T-Transportation'!B17,'Project List '!$B$6:$B$21,0))</f>
        <v>2026</v>
      </c>
      <c r="I17" s="598">
        <f>INDEX('Project List '!$I$6:$I$21, MATCH('T-Transportation'!B17,'Project List '!$B$6:$B$21,0))</f>
        <v>0.75</v>
      </c>
      <c r="J17" s="598">
        <f>INDEX('Project List '!$J$6:$J$21, MATCH('T-Transportation'!B17,'Project List '!$B$6:$B$21,0))</f>
        <v>0.25</v>
      </c>
      <c r="K17" s="605">
        <f>INDEX('Project List '!$X$6:$X$21, MATCH('T-Transportation'!B17,'Project List '!$B$6:$B$21,0))</f>
        <v>1000000</v>
      </c>
      <c r="L17" s="606">
        <f>INDEX('Project List '!$AF$6:$AF$21, MATCH('T-Transportation'!B17,'Project List '!$B$6:$B$21,0))</f>
        <v>96109</v>
      </c>
      <c r="M17" s="607">
        <f>INDEX('Project List '!$AI$6:$AI$21, MATCH('T-Transportation'!B17,'Project List '!$B$6:$B$21,0))</f>
        <v>72081.75</v>
      </c>
      <c r="N17" s="608">
        <f>INDEX('Project List '!$AJ$6:$AJ$21, MATCH('T-Transportation'!B17,'Project List '!$B$6:$B$21,0))</f>
        <v>24027.25</v>
      </c>
      <c r="O17"/>
      <c r="P17"/>
      <c r="Q17" s="64"/>
      <c r="R17" s="64"/>
      <c r="S17" s="64"/>
      <c r="T17" s="64"/>
      <c r="U17" s="64"/>
      <c r="V17" s="64"/>
      <c r="W17" s="64"/>
      <c r="X17" s="64"/>
      <c r="Y17" s="64"/>
      <c r="Z17" s="64"/>
      <c r="AA17" s="64"/>
      <c r="AB17" s="64"/>
    </row>
    <row r="18" spans="2:28" s="64" customFormat="1" ht="17.25" customHeight="1" thickTop="1" thickBot="1">
      <c r="B18" s="436"/>
      <c r="C18" s="437"/>
      <c r="D18" s="437"/>
      <c r="E18" s="437"/>
      <c r="F18" s="437"/>
      <c r="G18" s="437"/>
      <c r="H18" s="437"/>
      <c r="I18" s="437"/>
      <c r="J18" s="438"/>
      <c r="K18" s="609"/>
      <c r="L18" s="439">
        <f>SUM(L6:L17)</f>
        <v>41846102.468749985</v>
      </c>
      <c r="M18" s="439">
        <f>SUM(M6:M17)</f>
        <v>21253726.059812494</v>
      </c>
      <c r="N18" s="440">
        <f>SUM(N6:N17)</f>
        <v>20592376.408937491</v>
      </c>
      <c r="O18" s="61"/>
      <c r="P18" s="61"/>
    </row>
    <row r="19" spans="2:28" s="64" customFormat="1" ht="23.25" customHeight="1">
      <c r="B19" s="75"/>
      <c r="C19" s="61"/>
      <c r="D19" s="61"/>
      <c r="E19" s="61"/>
      <c r="F19" s="61"/>
      <c r="G19" s="61"/>
      <c r="H19" s="61"/>
      <c r="I19" s="61"/>
      <c r="J19" s="128"/>
      <c r="K19" s="61"/>
      <c r="L19" s="61"/>
      <c r="M19" s="79"/>
      <c r="N19" s="79"/>
      <c r="O19" s="61"/>
      <c r="P19" s="61"/>
    </row>
    <row r="20" spans="2:28" s="64" customFormat="1" ht="23.25" customHeight="1" thickBot="1">
      <c r="B20" s="75" t="s">
        <v>151</v>
      </c>
      <c r="C20" s="61"/>
      <c r="D20" s="61"/>
      <c r="E20" s="61"/>
      <c r="F20" s="61"/>
      <c r="G20" s="61"/>
      <c r="H20" s="61"/>
      <c r="I20" s="61"/>
      <c r="J20" s="61"/>
      <c r="K20" s="61"/>
      <c r="L20" s="61"/>
      <c r="M20" s="61"/>
      <c r="N20" s="61"/>
      <c r="O20" s="61"/>
      <c r="P20" s="61"/>
    </row>
    <row r="21" spans="2:28" s="64" customFormat="1" ht="23.25" customHeight="1" thickBot="1">
      <c r="B21" s="683" t="s">
        <v>31</v>
      </c>
      <c r="C21" s="684"/>
      <c r="D21" s="685"/>
      <c r="E21" s="686" t="s">
        <v>75</v>
      </c>
      <c r="F21" s="685"/>
      <c r="G21" s="686" t="s">
        <v>2</v>
      </c>
      <c r="H21" s="685"/>
      <c r="I21" s="686" t="s">
        <v>51</v>
      </c>
      <c r="J21" s="685"/>
      <c r="K21" s="681" t="s">
        <v>108</v>
      </c>
      <c r="L21" s="687"/>
      <c r="M21" s="681" t="s">
        <v>110</v>
      </c>
      <c r="N21" s="690"/>
      <c r="O21" s="681" t="s">
        <v>111</v>
      </c>
      <c r="P21" s="682"/>
    </row>
    <row r="22" spans="2:28" s="64" customFormat="1" ht="23.25" customHeight="1">
      <c r="B22" s="447" t="s">
        <v>55</v>
      </c>
      <c r="C22" s="448" t="s">
        <v>56</v>
      </c>
      <c r="D22" s="448" t="s">
        <v>43</v>
      </c>
      <c r="E22" s="449" t="s">
        <v>70</v>
      </c>
      <c r="F22" s="449" t="s">
        <v>71</v>
      </c>
      <c r="G22" s="449" t="s">
        <v>4</v>
      </c>
      <c r="H22" s="449" t="s">
        <v>5</v>
      </c>
      <c r="I22" s="450" t="s">
        <v>49</v>
      </c>
      <c r="J22" s="450" t="s">
        <v>50</v>
      </c>
      <c r="K22" s="450" t="s">
        <v>107</v>
      </c>
      <c r="L22" s="449" t="s">
        <v>102</v>
      </c>
      <c r="M22" s="451" t="s">
        <v>53</v>
      </c>
      <c r="N22" s="449" t="s">
        <v>54</v>
      </c>
      <c r="O22" s="449" t="s">
        <v>68</v>
      </c>
      <c r="P22" s="452" t="s">
        <v>59</v>
      </c>
    </row>
    <row r="23" spans="2:28" s="64" customFormat="1" ht="25.5" customHeight="1" thickBot="1">
      <c r="B23" s="530" t="s">
        <v>157</v>
      </c>
      <c r="C23" s="531" t="str">
        <f>INDEX('Project List '!$C$6:$C$21, MATCH('T-Transportation'!B23,'Project List '!$B$6:$B$21,0))</f>
        <v>338 Avenue Expansion from Northridge Drive to Highway 2</v>
      </c>
      <c r="D23" s="532" t="str">
        <f>INDEX('Project List '!$D$6:$D$21, MATCH('T-Transportation'!B23,'Project List '!$B$6:$B$21,0))</f>
        <v>From 2-lane to 4-lane (3200 metres)
From 2-lane to 6-lane (1400 metres)</v>
      </c>
      <c r="E23" s="533" t="str">
        <f>INDEX('Project List '!$E$6:$E$21, MATCH('T-Transportation'!B23,'Project List '!$B$6:$B$21,0))</f>
        <v>Others</v>
      </c>
      <c r="F23" s="533" t="str">
        <f>INDEX('Project List '!$F$6:$F$21, MATCH('T-Transportation'!B23,'Project List '!$B$6:$B$21,0))</f>
        <v xml:space="preserve">OSL </v>
      </c>
      <c r="G23" s="533">
        <f>INDEX('Project List '!$G$6:$G$21, MATCH('T-Transportation'!B23,'Project List '!$B$6:$B$21,0))</f>
        <v>2036</v>
      </c>
      <c r="H23" s="533">
        <f>INDEX('Project List '!$H$6:$H$21, MATCH('T-Transportation'!B23,'Project List '!$B$6:$B$21,0))</f>
        <v>2045</v>
      </c>
      <c r="I23" s="599">
        <f>INDEX('Project List '!$I$6:$I$21, MATCH('T-Transportation'!B23,'Project List '!$B$6:$B$21,0))</f>
        <v>0.91500000000000004</v>
      </c>
      <c r="J23" s="599">
        <f>INDEX('Project List '!$J$6:$J$21, MATCH('T-Transportation'!B23,'Project List '!$B$6:$B$21,0))</f>
        <v>8.4999999999999964E-2</v>
      </c>
      <c r="K23" s="610">
        <f>INDEX('Project List '!$X$6:$X$21, MATCH('T-Transportation'!B23,'Project List '!$B$6:$B$21,0))</f>
        <v>49914227.174999997</v>
      </c>
      <c r="L23" s="611">
        <f>INDEX('Project List '!$AF$6:$AF$21, MATCH('T-Transportation'!B23,'Project List '!$B$6:$B$21,0))</f>
        <v>49914227.174999997</v>
      </c>
      <c r="M23" s="612">
        <f>INDEX('Project List '!$AI$6:$AI$21, MATCH('T-Transportation'!B23,'Project List '!$B$6:$B$21,0))</f>
        <v>45671517.865125</v>
      </c>
      <c r="N23" s="611">
        <f>INDEX('Project List '!$AJ$6:$AJ$21, MATCH('T-Transportation'!B23,'Project List '!$B$6:$B$21,0))</f>
        <v>4242709.3098749984</v>
      </c>
      <c r="O23" s="611">
        <f>INDEX('Project List '!$AL$6:$AL$21, MATCH(B23,'Project List '!$B$6:$B$21,0))</f>
        <v>4600</v>
      </c>
      <c r="P23" s="613">
        <f>INDEX('Project List '!$AM$6:$AM$21, MATCH(B23,'Project List '!$B$6:$B$21,0))</f>
        <v>32849477.865125</v>
      </c>
    </row>
    <row r="24" spans="2:28" s="64" customFormat="1" ht="14.25" customHeight="1" thickTop="1" thickBot="1">
      <c r="B24" s="441"/>
      <c r="C24" s="442"/>
      <c r="D24" s="443"/>
      <c r="E24" s="444"/>
      <c r="F24" s="444"/>
      <c r="G24" s="444"/>
      <c r="H24" s="444"/>
      <c r="I24" s="445"/>
      <c r="J24" s="445"/>
      <c r="K24" s="439">
        <f>SUM(K23:K23)</f>
        <v>49914227.174999997</v>
      </c>
      <c r="L24" s="396"/>
      <c r="M24" s="439">
        <f>SUM(M23:M23)</f>
        <v>45671517.865125</v>
      </c>
      <c r="N24" s="439"/>
      <c r="O24" s="402"/>
      <c r="P24" s="446">
        <f>SUM(P23:P23)</f>
        <v>32849477.865125</v>
      </c>
    </row>
    <row r="25" spans="2:28" s="64" customFormat="1" ht="11.25" customHeight="1" thickBot="1">
      <c r="B25" s="227"/>
      <c r="C25" s="228"/>
      <c r="D25" s="80"/>
      <c r="I25" s="82"/>
      <c r="J25" s="82"/>
      <c r="K25" s="76"/>
      <c r="L25" s="127"/>
      <c r="M25" s="76"/>
      <c r="N25" s="78"/>
      <c r="O25" s="81"/>
      <c r="P25" s="229"/>
    </row>
    <row r="26" spans="2:28" ht="12.6" thickBot="1">
      <c r="B26" s="453"/>
      <c r="C26" s="454" t="s">
        <v>171</v>
      </c>
      <c r="D26" s="454"/>
      <c r="E26" s="455"/>
      <c r="F26" s="455"/>
      <c r="G26" s="456" t="s">
        <v>4</v>
      </c>
      <c r="H26" s="456"/>
      <c r="I26" s="455"/>
      <c r="J26" s="455"/>
      <c r="K26" s="457"/>
      <c r="L26" s="455"/>
      <c r="M26" s="455"/>
      <c r="N26" s="455"/>
      <c r="O26" s="455"/>
      <c r="P26" s="458" t="s">
        <v>59</v>
      </c>
    </row>
    <row r="27" spans="2:28">
      <c r="B27" s="332"/>
      <c r="C27" s="61" t="s">
        <v>152</v>
      </c>
      <c r="G27" s="62">
        <v>2027</v>
      </c>
      <c r="H27" s="62">
        <v>2028</v>
      </c>
      <c r="K27" s="556"/>
      <c r="P27" s="622">
        <f>F57</f>
        <v>6533888.2325812504</v>
      </c>
    </row>
    <row r="28" spans="2:28">
      <c r="B28" s="332"/>
      <c r="C28" s="61" t="s">
        <v>153</v>
      </c>
      <c r="G28" s="62">
        <v>2035</v>
      </c>
      <c r="H28" s="62">
        <v>2036</v>
      </c>
      <c r="K28" s="556"/>
      <c r="P28" s="622">
        <f>H57</f>
        <v>11675813.663014583</v>
      </c>
    </row>
    <row r="29" spans="2:28">
      <c r="B29" s="332"/>
      <c r="C29" s="61" t="s">
        <v>154</v>
      </c>
      <c r="G29" s="62">
        <v>2042</v>
      </c>
      <c r="H29" s="62">
        <v>2043</v>
      </c>
      <c r="K29" s="556"/>
      <c r="P29" s="622">
        <f>L57</f>
        <v>2177962.7441937504</v>
      </c>
    </row>
    <row r="30" spans="2:28">
      <c r="B30" s="332"/>
      <c r="C30" s="61" t="s">
        <v>158</v>
      </c>
      <c r="G30" s="62">
        <v>2047</v>
      </c>
      <c r="H30" s="62">
        <v>2048</v>
      </c>
      <c r="K30" s="556"/>
      <c r="P30" s="622">
        <f>N57</f>
        <v>7319888.1746270834</v>
      </c>
    </row>
    <row r="31" spans="2:28" ht="12.6" thickBot="1">
      <c r="B31" s="534"/>
      <c r="C31" s="538" t="s">
        <v>172</v>
      </c>
      <c r="D31" s="538"/>
      <c r="E31" s="538"/>
      <c r="F31" s="538"/>
      <c r="G31" s="600">
        <v>2050</v>
      </c>
      <c r="H31" s="600">
        <v>2051</v>
      </c>
      <c r="I31" s="538"/>
      <c r="J31" s="538"/>
      <c r="K31" s="557"/>
      <c r="L31" s="538"/>
      <c r="M31" s="538"/>
      <c r="N31" s="538"/>
      <c r="O31" s="538"/>
      <c r="P31" s="623">
        <f>P57</f>
        <v>5141925.4304333329</v>
      </c>
    </row>
    <row r="32" spans="2:28" ht="13.2" thickTop="1" thickBot="1">
      <c r="B32" s="459"/>
      <c r="C32" s="558"/>
      <c r="D32" s="558"/>
      <c r="E32" s="558"/>
      <c r="F32" s="558"/>
      <c r="G32" s="558"/>
      <c r="H32" s="558"/>
      <c r="I32" s="558"/>
      <c r="J32" s="558"/>
      <c r="K32" s="559"/>
      <c r="L32" s="558"/>
      <c r="M32" s="558"/>
      <c r="N32" s="558"/>
      <c r="O32" s="558"/>
      <c r="P32" s="614">
        <f>SUM(P27:P31)</f>
        <v>32849478.244850002</v>
      </c>
    </row>
    <row r="33" spans="3:16">
      <c r="K33" s="67"/>
    </row>
    <row r="34" spans="3:16">
      <c r="K34" s="67"/>
    </row>
    <row r="35" spans="3:16" ht="16.2">
      <c r="D35" s="554" t="s">
        <v>258</v>
      </c>
      <c r="E35" s="548"/>
      <c r="F35" s="548"/>
      <c r="G35" s="548"/>
      <c r="H35" s="548"/>
      <c r="I35" s="548"/>
      <c r="J35" s="549"/>
      <c r="K35" s="550"/>
      <c r="L35" s="550"/>
      <c r="M35" s="551"/>
      <c r="N35" s="552"/>
      <c r="O35" s="553"/>
      <c r="P35" s="552"/>
    </row>
    <row r="36" spans="3:16" hidden="1">
      <c r="E36" s="62"/>
      <c r="G36" s="73"/>
    </row>
    <row r="37" spans="3:16" hidden="1">
      <c r="C37" s="60" t="s">
        <v>123</v>
      </c>
      <c r="E37" s="65"/>
      <c r="F37" s="65"/>
    </row>
    <row r="38" spans="3:16" hidden="1">
      <c r="C38" s="70" t="s">
        <v>55</v>
      </c>
      <c r="D38" s="71" t="s">
        <v>56</v>
      </c>
      <c r="E38" s="72" t="s">
        <v>149</v>
      </c>
      <c r="F38" s="688" t="s">
        <v>148</v>
      </c>
      <c r="G38" s="688"/>
    </row>
    <row r="39" spans="3:16" hidden="1">
      <c r="C39" s="64">
        <v>5</v>
      </c>
      <c r="D39" s="65" t="str">
        <f>INDEX('Project List '!$C$6:$C$21, MATCH('T-Transportation'!C39,'Project List '!$B$6:$B$21,0))</f>
        <v>Twinning of 32 Street from North Railway Street to 338 Avenue</v>
      </c>
      <c r="E39" s="177"/>
      <c r="F39" s="689"/>
      <c r="G39" s="689"/>
    </row>
    <row r="40" spans="3:16" hidden="1">
      <c r="C40" s="64">
        <v>8</v>
      </c>
      <c r="D40" s="65" t="str">
        <f>INDEX('Project List '!$C$6:$C$21, MATCH('T-Transportation'!C40,'Project List '!$B$6:$B$21,0))</f>
        <v xml:space="preserve">Intersection Improvements - Southridge Drive and HWY 7 </v>
      </c>
      <c r="E40" s="177"/>
      <c r="F40" s="689"/>
      <c r="G40" s="689"/>
    </row>
    <row r="41" spans="3:16" hidden="1">
      <c r="C41" s="64">
        <v>33</v>
      </c>
      <c r="D41" s="65" t="str">
        <f>INDEX('Project List '!$C$6:$C$21, MATCH('T-Transportation'!C41,'Project List '!$B$6:$B$21,0))</f>
        <v xml:space="preserve"> Northridge Drive and 338 Avenue</v>
      </c>
      <c r="E41" s="177"/>
      <c r="F41" s="689"/>
      <c r="G41" s="689"/>
    </row>
    <row r="42" spans="3:16" hidden="1">
      <c r="C42" s="64">
        <v>64</v>
      </c>
      <c r="D42" s="65" t="str">
        <f>INDEX('Project List '!$C$6:$C$21, MATCH('T-Transportation'!C42,'Project List '!$B$6:$B$21,0))</f>
        <v>Intersection Improvements - 32 Street and HWY 7</v>
      </c>
      <c r="E42" s="177"/>
      <c r="F42" s="689"/>
      <c r="G42" s="689"/>
    </row>
    <row r="43" spans="3:16" hidden="1">
      <c r="C43" s="64">
        <v>67</v>
      </c>
      <c r="D43" s="65" t="str">
        <f>INDEX('Project List '!$C$6:$C$21, MATCH('T-Transportation'!C43,'Project List '!$B$6:$B$21,0))</f>
        <v>Twinning 32 Street from Southbank Road to North Railway Street</v>
      </c>
      <c r="E43" s="177"/>
      <c r="F43" s="689"/>
      <c r="G43" s="689"/>
    </row>
    <row r="44" spans="3:16" hidden="1">
      <c r="C44" s="64">
        <v>71</v>
      </c>
      <c r="D44" s="65" t="str">
        <f>INDEX('Project List '!$C$6:$C$21, MATCH('T-Transportation'!C44,'Project List '!$B$6:$B$21,0))</f>
        <v>Milligan Drive and 32 Street</v>
      </c>
      <c r="E44" s="177"/>
      <c r="F44" s="689"/>
      <c r="G44" s="689"/>
    </row>
    <row r="45" spans="3:16" hidden="1">
      <c r="C45" s="64">
        <v>72</v>
      </c>
      <c r="D45" s="65" t="str">
        <f>INDEX('Project List '!$C$6:$C$21, MATCH('T-Transportation'!C45,'Project List '!$B$6:$B$21,0))</f>
        <v>North Railway Street/32 Street</v>
      </c>
      <c r="E45" s="177"/>
      <c r="F45" s="689"/>
      <c r="G45" s="689"/>
    </row>
    <row r="46" spans="3:16" hidden="1">
      <c r="C46" s="64">
        <v>73</v>
      </c>
      <c r="D46" s="65" t="str">
        <f>INDEX('Project List '!$C$6:$C$21, MATCH('T-Transportation'!C46,'Project List '!$B$6:$B$21,0))</f>
        <v>Southbank Road and 32 Street</v>
      </c>
      <c r="E46" s="177"/>
      <c r="F46" s="689"/>
      <c r="G46" s="689"/>
    </row>
    <row r="47" spans="3:16" hidden="1">
      <c r="C47" s="64">
        <v>81</v>
      </c>
      <c r="D47" s="65" t="str">
        <f>INDEX('Project List '!$C$6:$C$21, MATCH('T-Transportation'!C47,'Project List '!$B$6:$B$21,0))</f>
        <v>Northridge Drive and Northgate Circle Storm Contribution</v>
      </c>
      <c r="E47" s="177"/>
      <c r="F47" s="689"/>
      <c r="G47" s="689"/>
    </row>
    <row r="48" spans="3:16" ht="12.6" hidden="1" thickBot="1">
      <c r="C48" s="68">
        <v>90</v>
      </c>
      <c r="D48" s="69" t="str">
        <f>INDEX('Project List '!$C$6:$C$21, MATCH('T-Transportation'!C48,'Project List '!$B$6:$B$21,0))</f>
        <v>338 Ave and 32 Street Intersection Improvements</v>
      </c>
      <c r="E48" s="178"/>
      <c r="F48" s="692"/>
      <c r="G48" s="692"/>
    </row>
    <row r="49" spans="3:17" ht="12.6" hidden="1" thickTop="1">
      <c r="C49" s="64"/>
      <c r="G49" s="73"/>
    </row>
    <row r="50" spans="3:17" ht="12.6" hidden="1" thickBot="1">
      <c r="C50" s="68">
        <v>9</v>
      </c>
      <c r="D50" s="69" t="s">
        <v>61</v>
      </c>
      <c r="E50" s="183"/>
      <c r="F50" s="692"/>
      <c r="G50" s="692"/>
    </row>
    <row r="51" spans="3:17" ht="12.75" hidden="1" customHeight="1" thickTop="1">
      <c r="C51" s="64"/>
      <c r="D51" s="65"/>
      <c r="E51" s="133"/>
      <c r="F51" s="691"/>
      <c r="G51" s="691"/>
    </row>
    <row r="52" spans="3:17" hidden="1">
      <c r="C52" s="64"/>
      <c r="D52" s="65"/>
      <c r="E52" s="67"/>
      <c r="F52" s="67"/>
    </row>
    <row r="53" spans="3:17" ht="14.4">
      <c r="E53" s="675" t="s">
        <v>244</v>
      </c>
      <c r="F53" s="675"/>
      <c r="G53" s="676" t="s">
        <v>153</v>
      </c>
      <c r="H53" s="676"/>
      <c r="I53" s="680" t="s">
        <v>245</v>
      </c>
      <c r="J53" s="680"/>
      <c r="K53" s="679" t="s">
        <v>154</v>
      </c>
      <c r="L53" s="679"/>
      <c r="M53" s="678" t="s">
        <v>158</v>
      </c>
      <c r="N53" s="678"/>
      <c r="O53" s="677" t="s">
        <v>246</v>
      </c>
      <c r="P53" s="677"/>
    </row>
    <row r="54" spans="3:17" ht="43.2">
      <c r="D54" s="536" t="s">
        <v>243</v>
      </c>
      <c r="E54" s="537" t="s">
        <v>247</v>
      </c>
      <c r="F54" s="537" t="s">
        <v>248</v>
      </c>
      <c r="G54" s="537" t="s">
        <v>247</v>
      </c>
      <c r="H54" s="537" t="s">
        <v>248</v>
      </c>
      <c r="I54" s="537" t="s">
        <v>247</v>
      </c>
      <c r="J54" s="537" t="s">
        <v>248</v>
      </c>
      <c r="K54" s="537" t="s">
        <v>247</v>
      </c>
      <c r="L54" s="537" t="s">
        <v>248</v>
      </c>
      <c r="M54" s="537" t="s">
        <v>247</v>
      </c>
      <c r="N54" s="537" t="s">
        <v>248</v>
      </c>
      <c r="O54" s="537" t="s">
        <v>247</v>
      </c>
      <c r="P54" s="537" t="s">
        <v>248</v>
      </c>
    </row>
    <row r="55" spans="3:17" ht="15" customHeight="1">
      <c r="D55" s="535" t="s">
        <v>241</v>
      </c>
      <c r="E55" s="61">
        <v>2400</v>
      </c>
      <c r="F55" s="615">
        <v>6533888.2325812504</v>
      </c>
      <c r="G55" s="61">
        <v>2400</v>
      </c>
      <c r="H55" s="615">
        <v>6533888.2325812504</v>
      </c>
      <c r="K55" s="61">
        <v>800</v>
      </c>
      <c r="L55" s="615">
        <v>2177962.7441937504</v>
      </c>
      <c r="M55" s="61">
        <v>800</v>
      </c>
      <c r="N55" s="615">
        <v>2177962.7441937504</v>
      </c>
    </row>
    <row r="56" spans="3:17" ht="15" customHeight="1" thickBot="1">
      <c r="D56" s="535" t="s">
        <v>242</v>
      </c>
      <c r="E56" s="538"/>
      <c r="F56" s="616"/>
      <c r="G56" s="538">
        <v>1400</v>
      </c>
      <c r="H56" s="618">
        <v>5141925.4304333329</v>
      </c>
      <c r="I56" s="538"/>
      <c r="J56" s="538"/>
      <c r="K56" s="538"/>
      <c r="L56" s="616"/>
      <c r="M56" s="538">
        <v>1400</v>
      </c>
      <c r="N56" s="618">
        <v>5141925.4304333329</v>
      </c>
      <c r="O56" s="538">
        <v>1400</v>
      </c>
      <c r="P56" s="618">
        <v>5141925.4304333329</v>
      </c>
    </row>
    <row r="57" spans="3:17" ht="12.6" thickTop="1">
      <c r="F57" s="617">
        <f>SUM(F55:F56)</f>
        <v>6533888.2325812504</v>
      </c>
      <c r="H57" s="617">
        <f>SUM(H55:H56)</f>
        <v>11675813.663014583</v>
      </c>
      <c r="J57" s="539">
        <f>SUM(J55:J56)</f>
        <v>0</v>
      </c>
      <c r="L57" s="617">
        <f>SUM(L55:L56)</f>
        <v>2177962.7441937504</v>
      </c>
      <c r="N57" s="617">
        <f>SUM(N55:N56)</f>
        <v>7319888.1746270834</v>
      </c>
      <c r="P57" s="617">
        <f>SUM(P55:P56)</f>
        <v>5141925.4304333329</v>
      </c>
      <c r="Q57" s="67"/>
    </row>
    <row r="58" spans="3:17">
      <c r="N58" s="617"/>
    </row>
  </sheetData>
  <mergeCells count="32">
    <mergeCell ref="F51:G51"/>
    <mergeCell ref="F46:G46"/>
    <mergeCell ref="F48:G48"/>
    <mergeCell ref="F47:G47"/>
    <mergeCell ref="F50:G50"/>
    <mergeCell ref="F41:G41"/>
    <mergeCell ref="F42:G42"/>
    <mergeCell ref="F43:G43"/>
    <mergeCell ref="F44:G44"/>
    <mergeCell ref="F45:G45"/>
    <mergeCell ref="B21:D21"/>
    <mergeCell ref="E21:F21"/>
    <mergeCell ref="G21:H21"/>
    <mergeCell ref="I21:J21"/>
    <mergeCell ref="K21:L21"/>
    <mergeCell ref="F38:G38"/>
    <mergeCell ref="F39:G39"/>
    <mergeCell ref="F40:G40"/>
    <mergeCell ref="M21:N21"/>
    <mergeCell ref="O21:P21"/>
    <mergeCell ref="M4:N4"/>
    <mergeCell ref="B4:D4"/>
    <mergeCell ref="E4:F4"/>
    <mergeCell ref="G4:H4"/>
    <mergeCell ref="K4:L4"/>
    <mergeCell ref="I4:J4"/>
    <mergeCell ref="E53:F53"/>
    <mergeCell ref="G53:H53"/>
    <mergeCell ref="O53:P53"/>
    <mergeCell ref="M53:N53"/>
    <mergeCell ref="K53:L53"/>
    <mergeCell ref="I53:J53"/>
  </mergeCells>
  <dataValidations disablePrompts="1" count="1">
    <dataValidation type="list" allowBlank="1" showInputMessage="1" showErrorMessage="1" sqref="L24:L25" xr:uid="{0C35EB8F-3D8C-4827-B47F-0A6A5A18C522}">
      <formula1>"Conceptual, Preliminary Design, Detailed Design, Tendered"</formula1>
    </dataValidation>
  </dataValidations>
  <pageMargins left="0.25" right="0.25" top="0.75" bottom="0.75" header="0.3" footer="0.3"/>
  <pageSetup paperSize="4" scale="2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50364-9F25-453D-9EBB-47C0F28CD954}">
  <sheetPr codeName="Sheet70">
    <tabColor rgb="FFFFF915"/>
  </sheetPr>
  <dimension ref="A3:BU82"/>
  <sheetViews>
    <sheetView showGridLines="0" zoomScale="85" zoomScaleNormal="85" workbookViewId="0">
      <selection activeCell="H38" sqref="H38"/>
    </sheetView>
  </sheetViews>
  <sheetFormatPr defaultColWidth="9.109375" defaultRowHeight="14.4"/>
  <cols>
    <col min="1" max="1" width="21.88671875" customWidth="1"/>
    <col min="2" max="2" width="74.21875" customWidth="1"/>
    <col min="3" max="3" width="16.6640625" customWidth="1"/>
    <col min="4" max="5" width="19.5546875" customWidth="1"/>
    <col min="6" max="6" width="25.44140625" customWidth="1"/>
    <col min="7" max="9" width="23.109375" style="1" customWidth="1"/>
    <col min="10" max="12" width="25.109375" customWidth="1"/>
    <col min="13" max="13" width="18.6640625" customWidth="1"/>
    <col min="14" max="14" width="20.109375" customWidth="1"/>
    <col min="15" max="15" width="21" customWidth="1"/>
    <col min="16" max="16" width="19.44140625" customWidth="1"/>
    <col min="17" max="17" width="18.21875" customWidth="1"/>
    <col min="18" max="18" width="20.109375" customWidth="1"/>
    <col min="19" max="19" width="17.88671875" customWidth="1"/>
    <col min="20" max="20" width="18.21875" customWidth="1"/>
    <col min="21" max="21" width="16.88671875" customWidth="1"/>
    <col min="22" max="22" width="20" customWidth="1"/>
    <col min="23" max="23" width="18.21875" customWidth="1"/>
    <col min="24" max="24" width="19.5546875" customWidth="1"/>
    <col min="25" max="25" width="18.6640625" customWidth="1"/>
    <col min="26" max="26" width="20" customWidth="1"/>
    <col min="27" max="27" width="17.109375" customWidth="1"/>
    <col min="28" max="28" width="16.44140625" customWidth="1"/>
    <col min="29" max="29" width="15.44140625" customWidth="1"/>
    <col min="30" max="30" width="16" customWidth="1"/>
    <col min="31" max="31" width="15.88671875" customWidth="1"/>
    <col min="32" max="34" width="18.21875" customWidth="1"/>
    <col min="35" max="35" width="17.44140625" customWidth="1"/>
    <col min="36" max="36" width="19.5546875" customWidth="1"/>
    <col min="37" max="37" width="17.44140625" customWidth="1"/>
    <col min="38" max="38" width="16.44140625" customWidth="1"/>
    <col min="39" max="73" width="18.88671875" customWidth="1"/>
    <col min="74" max="74" width="20.21875" customWidth="1"/>
    <col min="75" max="75" width="18.88671875" customWidth="1"/>
    <col min="76" max="76" width="20" customWidth="1"/>
    <col min="77" max="77" width="17.109375" customWidth="1"/>
    <col min="78" max="78" width="20.21875" customWidth="1"/>
    <col min="79" max="79" width="16.88671875" customWidth="1"/>
    <col min="80" max="80" width="16.21875" customWidth="1"/>
    <col min="81" max="81" width="21.109375" customWidth="1"/>
    <col min="82" max="82" width="19.109375" customWidth="1"/>
  </cols>
  <sheetData>
    <row r="3" spans="1:73" ht="15.6">
      <c r="B3" s="703" t="s">
        <v>113</v>
      </c>
      <c r="C3" s="703"/>
      <c r="D3" s="703"/>
      <c r="E3" s="703"/>
      <c r="F3" s="703"/>
      <c r="G3" s="703"/>
      <c r="H3" s="703"/>
      <c r="I3" s="703"/>
      <c r="J3" s="703"/>
      <c r="K3" s="16"/>
      <c r="L3" s="16"/>
      <c r="M3" s="2"/>
      <c r="N3" s="29"/>
      <c r="O3" s="30"/>
      <c r="P3" s="30"/>
      <c r="Q3" s="31"/>
      <c r="R3" s="29"/>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row>
    <row r="4" spans="1:73" ht="15.6">
      <c r="B4" s="703" t="s">
        <v>32</v>
      </c>
      <c r="C4" s="703"/>
      <c r="D4" s="703"/>
      <c r="E4" s="703"/>
      <c r="F4" s="703"/>
      <c r="G4" s="703"/>
      <c r="H4" s="703"/>
      <c r="I4" s="703"/>
      <c r="J4" s="703"/>
      <c r="K4" s="16"/>
      <c r="L4" s="16"/>
      <c r="M4" s="16"/>
      <c r="N4" s="29"/>
      <c r="O4" s="30"/>
      <c r="P4" s="30"/>
      <c r="Q4" s="31"/>
      <c r="R4" s="29"/>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row>
    <row r="5" spans="1:73" ht="15.6">
      <c r="B5" s="703" t="str">
        <f>Assumptions!B3&amp;" $s"</f>
        <v>2026 $s</v>
      </c>
      <c r="C5" s="703"/>
      <c r="D5" s="703"/>
      <c r="E5" s="703"/>
      <c r="F5" s="703"/>
      <c r="G5" s="703"/>
      <c r="H5" s="703"/>
      <c r="I5" s="703"/>
      <c r="J5" s="703"/>
      <c r="K5" s="16"/>
      <c r="L5" s="16"/>
      <c r="M5" s="51"/>
      <c r="N5" s="29"/>
      <c r="O5" s="30"/>
      <c r="P5" s="30"/>
      <c r="Q5" s="31"/>
      <c r="R5" s="29"/>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row>
    <row r="6" spans="1:73" ht="15.6" hidden="1">
      <c r="K6" s="16"/>
      <c r="L6" s="83">
        <v>1</v>
      </c>
      <c r="M6" s="84">
        <f>(1+M7)</f>
        <v>1.0249999999999999</v>
      </c>
      <c r="N6" s="84">
        <f>+(1+N7)*M6</f>
        <v>1.0506249999999999</v>
      </c>
      <c r="O6" s="84">
        <f t="shared" ref="O6:BS6" si="0">+(1+O7)*N6</f>
        <v>1.0768906249999999</v>
      </c>
      <c r="P6" s="84">
        <f t="shared" si="0"/>
        <v>1.1038128906249998</v>
      </c>
      <c r="Q6" s="84">
        <f t="shared" si="0"/>
        <v>1.1314082128906247</v>
      </c>
      <c r="R6" s="84">
        <f t="shared" si="0"/>
        <v>1.1596934182128902</v>
      </c>
      <c r="S6" s="84">
        <f t="shared" si="0"/>
        <v>1.1886857536682123</v>
      </c>
      <c r="T6" s="84">
        <f t="shared" si="0"/>
        <v>1.2184028975099175</v>
      </c>
      <c r="U6" s="84">
        <f t="shared" si="0"/>
        <v>1.2488629699476652</v>
      </c>
      <c r="V6" s="84">
        <f t="shared" si="0"/>
        <v>1.2800845441963566</v>
      </c>
      <c r="W6" s="84">
        <f t="shared" si="0"/>
        <v>1.3120866578012655</v>
      </c>
      <c r="X6" s="84">
        <f t="shared" si="0"/>
        <v>1.3448888242462971</v>
      </c>
      <c r="Y6" s="84">
        <f t="shared" si="0"/>
        <v>1.3785110448524545</v>
      </c>
      <c r="Z6" s="84">
        <f t="shared" si="0"/>
        <v>1.4129738209737657</v>
      </c>
      <c r="AA6" s="84">
        <f t="shared" si="0"/>
        <v>1.4482981664981096</v>
      </c>
      <c r="AB6" s="84">
        <f t="shared" si="0"/>
        <v>1.4845056206605622</v>
      </c>
      <c r="AC6" s="84">
        <f t="shared" si="0"/>
        <v>1.5216182611770761</v>
      </c>
      <c r="AD6" s="84">
        <f t="shared" si="0"/>
        <v>1.5596587177065029</v>
      </c>
      <c r="AE6" s="84">
        <f t="shared" si="0"/>
        <v>1.5986501856491653</v>
      </c>
      <c r="AF6" s="84">
        <f t="shared" si="0"/>
        <v>1.6386164402903942</v>
      </c>
      <c r="AG6" s="84">
        <f t="shared" si="0"/>
        <v>1.6795818512976539</v>
      </c>
      <c r="AH6" s="84">
        <f t="shared" si="0"/>
        <v>1.721571397580095</v>
      </c>
      <c r="AI6" s="84">
        <f t="shared" si="0"/>
        <v>1.7646106825195973</v>
      </c>
      <c r="AJ6" s="84">
        <f t="shared" si="0"/>
        <v>1.8087259495825871</v>
      </c>
      <c r="AK6" s="84">
        <f t="shared" si="0"/>
        <v>1.8539440983221516</v>
      </c>
      <c r="AL6" s="84">
        <f t="shared" si="0"/>
        <v>1.9002927007802053</v>
      </c>
      <c r="AM6" s="84">
        <f t="shared" si="0"/>
        <v>1.9478000182997102</v>
      </c>
      <c r="AN6" s="84">
        <f t="shared" si="0"/>
        <v>1.9964950187572028</v>
      </c>
      <c r="AO6" s="84">
        <f t="shared" si="0"/>
        <v>2.0464073942261325</v>
      </c>
      <c r="AP6" s="84">
        <f t="shared" si="0"/>
        <v>2.0975675790817858</v>
      </c>
      <c r="AQ6" s="84">
        <f t="shared" si="0"/>
        <v>2.1500067685588302</v>
      </c>
      <c r="AR6" s="84">
        <f t="shared" si="0"/>
        <v>2.2037569377728006</v>
      </c>
      <c r="AS6" s="84">
        <f t="shared" si="0"/>
        <v>2.2588508612171205</v>
      </c>
      <c r="AT6" s="84">
        <f t="shared" si="0"/>
        <v>2.3153221327475482</v>
      </c>
      <c r="AU6" s="84">
        <f t="shared" si="0"/>
        <v>2.3732051860662366</v>
      </c>
      <c r="AV6" s="84">
        <f t="shared" si="0"/>
        <v>2.4325353157178924</v>
      </c>
      <c r="AW6" s="84">
        <f t="shared" si="0"/>
        <v>2.4933486986108395</v>
      </c>
      <c r="AX6" s="84">
        <f t="shared" si="0"/>
        <v>2.5556824160761105</v>
      </c>
      <c r="AY6" s="84">
        <f t="shared" si="0"/>
        <v>2.6195744764780131</v>
      </c>
      <c r="AZ6" s="84">
        <f t="shared" si="0"/>
        <v>2.6850638383899632</v>
      </c>
      <c r="BA6" s="84">
        <f t="shared" si="0"/>
        <v>2.7521904343497119</v>
      </c>
      <c r="BB6" s="84">
        <f t="shared" si="0"/>
        <v>2.8209951952084547</v>
      </c>
      <c r="BC6" s="84">
        <f t="shared" si="0"/>
        <v>2.8915200750886658</v>
      </c>
      <c r="BD6" s="84">
        <f t="shared" si="0"/>
        <v>2.9638080769658823</v>
      </c>
      <c r="BE6" s="84">
        <f t="shared" si="0"/>
        <v>3.0379032788900293</v>
      </c>
      <c r="BF6" s="84">
        <f t="shared" si="0"/>
        <v>3.1138508608622799</v>
      </c>
      <c r="BG6" s="84">
        <f t="shared" si="0"/>
        <v>3.1916971323838368</v>
      </c>
      <c r="BH6" s="84">
        <f t="shared" si="0"/>
        <v>3.2714895606934324</v>
      </c>
      <c r="BI6" s="84">
        <f t="shared" si="0"/>
        <v>3.353276799710768</v>
      </c>
      <c r="BJ6" s="84">
        <f t="shared" si="0"/>
        <v>3.437108719703537</v>
      </c>
      <c r="BK6" s="84">
        <f t="shared" si="0"/>
        <v>3.523036437696125</v>
      </c>
      <c r="BL6" s="84">
        <f t="shared" si="0"/>
        <v>3.6111123486385277</v>
      </c>
      <c r="BM6" s="84">
        <f t="shared" si="0"/>
        <v>3.7013901573544907</v>
      </c>
      <c r="BN6" s="84">
        <f t="shared" si="0"/>
        <v>3.7939249112883529</v>
      </c>
      <c r="BO6" s="84">
        <f t="shared" si="0"/>
        <v>3.8887730340705615</v>
      </c>
      <c r="BP6" s="84">
        <f t="shared" si="0"/>
        <v>3.9859923599223253</v>
      </c>
      <c r="BQ6" s="84">
        <f t="shared" si="0"/>
        <v>4.0856421689203835</v>
      </c>
      <c r="BR6" s="84">
        <f t="shared" si="0"/>
        <v>4.1877832231433922</v>
      </c>
      <c r="BS6" s="85">
        <f t="shared" si="0"/>
        <v>4.2924778037219768</v>
      </c>
      <c r="BT6" s="32"/>
      <c r="BU6" s="32"/>
    </row>
    <row r="7" spans="1:73" ht="15" thickBot="1">
      <c r="E7" s="3"/>
      <c r="F7" s="10"/>
      <c r="G7" s="10"/>
      <c r="H7" s="10"/>
      <c r="I7" s="4"/>
      <c r="J7" s="4"/>
      <c r="K7" s="4"/>
      <c r="L7" s="302">
        <f>Assumptions!$B$18</f>
        <v>2.5000000000000001E-2</v>
      </c>
      <c r="M7" s="302">
        <f>Assumptions!$B$18</f>
        <v>2.5000000000000001E-2</v>
      </c>
      <c r="N7" s="302">
        <f>Assumptions!$B$18</f>
        <v>2.5000000000000001E-2</v>
      </c>
      <c r="O7" s="302">
        <f>Assumptions!$B$18</f>
        <v>2.5000000000000001E-2</v>
      </c>
      <c r="P7" s="302">
        <f>Assumptions!$B$18</f>
        <v>2.5000000000000001E-2</v>
      </c>
      <c r="Q7" s="302">
        <f>Assumptions!$B$18</f>
        <v>2.5000000000000001E-2</v>
      </c>
      <c r="R7" s="302">
        <f>Assumptions!$B$18</f>
        <v>2.5000000000000001E-2</v>
      </c>
      <c r="S7" s="302">
        <f>Assumptions!$B$18</f>
        <v>2.5000000000000001E-2</v>
      </c>
      <c r="T7" s="302">
        <f>Assumptions!$B$18</f>
        <v>2.5000000000000001E-2</v>
      </c>
      <c r="U7" s="302">
        <f>Assumptions!$B$18</f>
        <v>2.5000000000000001E-2</v>
      </c>
      <c r="V7" s="302">
        <f>Assumptions!$B$18</f>
        <v>2.5000000000000001E-2</v>
      </c>
      <c r="W7" s="302">
        <f>Assumptions!$B$18</f>
        <v>2.5000000000000001E-2</v>
      </c>
      <c r="X7" s="302">
        <f>Assumptions!$B$18</f>
        <v>2.5000000000000001E-2</v>
      </c>
      <c r="Y7" s="302">
        <f>Assumptions!$B$18</f>
        <v>2.5000000000000001E-2</v>
      </c>
      <c r="Z7" s="302">
        <f>Assumptions!$B$18</f>
        <v>2.5000000000000001E-2</v>
      </c>
      <c r="AA7" s="302">
        <f>Assumptions!$B$18</f>
        <v>2.5000000000000001E-2</v>
      </c>
      <c r="AB7" s="302">
        <f>Assumptions!$B$18</f>
        <v>2.5000000000000001E-2</v>
      </c>
      <c r="AC7" s="302">
        <f>Assumptions!$B$18</f>
        <v>2.5000000000000001E-2</v>
      </c>
      <c r="AD7" s="302">
        <f>Assumptions!$B$18</f>
        <v>2.5000000000000001E-2</v>
      </c>
      <c r="AE7" s="302">
        <f>Assumptions!$B$18</f>
        <v>2.5000000000000001E-2</v>
      </c>
      <c r="AF7" s="302">
        <f>Assumptions!$B$18</f>
        <v>2.5000000000000001E-2</v>
      </c>
      <c r="AG7" s="302">
        <f>Assumptions!$B$18</f>
        <v>2.5000000000000001E-2</v>
      </c>
      <c r="AH7" s="302">
        <f>Assumptions!$B$18</f>
        <v>2.5000000000000001E-2</v>
      </c>
      <c r="AI7" s="302">
        <f>Assumptions!$B$18</f>
        <v>2.5000000000000001E-2</v>
      </c>
      <c r="AJ7" s="302">
        <f>Assumptions!$B$18</f>
        <v>2.5000000000000001E-2</v>
      </c>
      <c r="AK7" s="302">
        <f>Assumptions!$B$18</f>
        <v>2.5000000000000001E-2</v>
      </c>
      <c r="AL7" s="302">
        <f>Assumptions!$B$18</f>
        <v>2.5000000000000001E-2</v>
      </c>
      <c r="AM7" s="302">
        <f>Assumptions!$B$18</f>
        <v>2.5000000000000001E-2</v>
      </c>
      <c r="AN7" s="302">
        <f>Assumptions!$B$18</f>
        <v>2.5000000000000001E-2</v>
      </c>
      <c r="AO7" s="302">
        <f>Assumptions!$B$18</f>
        <v>2.5000000000000001E-2</v>
      </c>
      <c r="AP7" s="302">
        <f>Assumptions!$B$18</f>
        <v>2.5000000000000001E-2</v>
      </c>
      <c r="AQ7" s="302">
        <f>Assumptions!$B$18</f>
        <v>2.5000000000000001E-2</v>
      </c>
      <c r="AR7" s="302">
        <f>Assumptions!$B$18</f>
        <v>2.5000000000000001E-2</v>
      </c>
      <c r="AS7" s="302">
        <f>Assumptions!$B$18</f>
        <v>2.5000000000000001E-2</v>
      </c>
      <c r="AT7" s="302">
        <f>Assumptions!$B$18</f>
        <v>2.5000000000000001E-2</v>
      </c>
      <c r="AU7" s="302">
        <f>Assumptions!$B$18</f>
        <v>2.5000000000000001E-2</v>
      </c>
      <c r="AV7" s="302">
        <f>Assumptions!$B$18</f>
        <v>2.5000000000000001E-2</v>
      </c>
      <c r="AW7" s="302">
        <f>Assumptions!$B$18</f>
        <v>2.5000000000000001E-2</v>
      </c>
      <c r="AX7" s="302">
        <f>Assumptions!$B$18</f>
        <v>2.5000000000000001E-2</v>
      </c>
      <c r="AY7" s="302">
        <f>Assumptions!$B$18</f>
        <v>2.5000000000000001E-2</v>
      </c>
      <c r="AZ7" s="302">
        <f>Assumptions!$B$18</f>
        <v>2.5000000000000001E-2</v>
      </c>
      <c r="BA7" s="302">
        <f>Assumptions!$B$18</f>
        <v>2.5000000000000001E-2</v>
      </c>
      <c r="BB7" s="302">
        <f>Assumptions!$B$18</f>
        <v>2.5000000000000001E-2</v>
      </c>
      <c r="BC7" s="302">
        <f>Assumptions!$B$18</f>
        <v>2.5000000000000001E-2</v>
      </c>
      <c r="BD7" s="302">
        <f>Assumptions!$B$18</f>
        <v>2.5000000000000001E-2</v>
      </c>
      <c r="BE7" s="302">
        <f>Assumptions!$B$18</f>
        <v>2.5000000000000001E-2</v>
      </c>
      <c r="BF7" s="302">
        <f>Assumptions!$B$18</f>
        <v>2.5000000000000001E-2</v>
      </c>
      <c r="BG7" s="302">
        <f>Assumptions!$B$18</f>
        <v>2.5000000000000001E-2</v>
      </c>
      <c r="BH7" s="302">
        <f>Assumptions!$B$18</f>
        <v>2.5000000000000001E-2</v>
      </c>
      <c r="BI7" s="302">
        <f>Assumptions!$B$18</f>
        <v>2.5000000000000001E-2</v>
      </c>
      <c r="BJ7" s="302">
        <f>Assumptions!$B$18</f>
        <v>2.5000000000000001E-2</v>
      </c>
      <c r="BK7" s="302">
        <f>Assumptions!$B$18</f>
        <v>2.5000000000000001E-2</v>
      </c>
      <c r="BL7" s="302">
        <f>Assumptions!$B$18</f>
        <v>2.5000000000000001E-2</v>
      </c>
      <c r="BM7" s="302">
        <f>Assumptions!$B$18</f>
        <v>2.5000000000000001E-2</v>
      </c>
      <c r="BN7" s="302">
        <f>Assumptions!$B$18</f>
        <v>2.5000000000000001E-2</v>
      </c>
      <c r="BO7" s="302">
        <f>Assumptions!$B$18</f>
        <v>2.5000000000000001E-2</v>
      </c>
      <c r="BP7" s="302">
        <f>Assumptions!$B$18</f>
        <v>2.5000000000000001E-2</v>
      </c>
      <c r="BQ7" s="302">
        <f>Assumptions!$B$18</f>
        <v>2.5000000000000001E-2</v>
      </c>
      <c r="BR7" s="302">
        <f>Assumptions!$B$18</f>
        <v>2.5000000000000001E-2</v>
      </c>
      <c r="BS7" s="302">
        <f>Assumptions!$B$18</f>
        <v>2.5000000000000001E-2</v>
      </c>
    </row>
    <row r="8" spans="1:73" ht="12.75" customHeight="1">
      <c r="A8" s="711" t="s">
        <v>0</v>
      </c>
      <c r="B8" s="714" t="s">
        <v>1</v>
      </c>
      <c r="C8" s="714" t="s">
        <v>2</v>
      </c>
      <c r="D8" s="714"/>
      <c r="E8" s="714"/>
      <c r="F8" s="715" t="s">
        <v>26</v>
      </c>
      <c r="G8" s="42"/>
      <c r="H8" s="42"/>
      <c r="I8" s="704" t="s">
        <v>20</v>
      </c>
      <c r="J8" s="704" t="s">
        <v>21</v>
      </c>
      <c r="K8" s="707" t="s">
        <v>27</v>
      </c>
      <c r="L8" s="86" t="s">
        <v>39</v>
      </c>
      <c r="M8" s="87"/>
      <c r="N8" s="87"/>
      <c r="O8" s="87"/>
      <c r="P8" s="87"/>
      <c r="Q8" s="87"/>
      <c r="R8" s="87"/>
      <c r="S8" s="87"/>
      <c r="T8" s="87"/>
      <c r="U8" s="87"/>
      <c r="V8" s="87"/>
      <c r="W8" s="87"/>
      <c r="X8" s="87"/>
      <c r="Y8" s="87"/>
      <c r="Z8" s="87"/>
      <c r="AA8" s="87"/>
      <c r="AB8" s="87"/>
      <c r="AC8" s="87"/>
      <c r="AD8" s="87"/>
      <c r="AE8" s="87"/>
      <c r="AF8" s="87"/>
      <c r="AG8" s="87"/>
      <c r="AH8" s="87"/>
      <c r="AI8" s="87"/>
      <c r="AJ8" s="87"/>
      <c r="AK8" s="87"/>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8"/>
      <c r="BN8" s="88"/>
      <c r="BO8" s="88"/>
      <c r="BP8" s="88"/>
      <c r="BQ8" s="88"/>
      <c r="BR8" s="88"/>
      <c r="BS8" s="88"/>
      <c r="BT8" s="35"/>
    </row>
    <row r="9" spans="1:73" ht="52.5" customHeight="1">
      <c r="A9" s="712"/>
      <c r="B9" s="709"/>
      <c r="C9" s="709" t="s">
        <v>4</v>
      </c>
      <c r="D9" s="709" t="s">
        <v>5</v>
      </c>
      <c r="E9" s="709" t="s">
        <v>3</v>
      </c>
      <c r="F9" s="716"/>
      <c r="G9" s="43" t="s">
        <v>95</v>
      </c>
      <c r="H9" s="43" t="s">
        <v>41</v>
      </c>
      <c r="I9" s="705"/>
      <c r="J9" s="705"/>
      <c r="K9" s="708"/>
      <c r="L9" s="36">
        <v>0</v>
      </c>
      <c r="M9" s="36">
        <v>1</v>
      </c>
      <c r="N9" s="36">
        <f t="shared" ref="N9:BS9" si="1">+M9+1</f>
        <v>2</v>
      </c>
      <c r="O9" s="36">
        <f t="shared" si="1"/>
        <v>3</v>
      </c>
      <c r="P9" s="36">
        <f t="shared" si="1"/>
        <v>4</v>
      </c>
      <c r="Q9" s="36">
        <f t="shared" si="1"/>
        <v>5</v>
      </c>
      <c r="R9" s="36">
        <f t="shared" si="1"/>
        <v>6</v>
      </c>
      <c r="S9" s="36">
        <f t="shared" si="1"/>
        <v>7</v>
      </c>
      <c r="T9" s="36">
        <f t="shared" si="1"/>
        <v>8</v>
      </c>
      <c r="U9" s="36">
        <f t="shared" si="1"/>
        <v>9</v>
      </c>
      <c r="V9" s="36">
        <f t="shared" si="1"/>
        <v>10</v>
      </c>
      <c r="W9" s="36">
        <f t="shared" si="1"/>
        <v>11</v>
      </c>
      <c r="X9" s="36">
        <f t="shared" si="1"/>
        <v>12</v>
      </c>
      <c r="Y9" s="36">
        <f t="shared" si="1"/>
        <v>13</v>
      </c>
      <c r="Z9" s="36">
        <f t="shared" si="1"/>
        <v>14</v>
      </c>
      <c r="AA9" s="36">
        <f t="shared" si="1"/>
        <v>15</v>
      </c>
      <c r="AB9" s="36">
        <f t="shared" si="1"/>
        <v>16</v>
      </c>
      <c r="AC9" s="36">
        <f t="shared" si="1"/>
        <v>17</v>
      </c>
      <c r="AD9" s="36">
        <f t="shared" si="1"/>
        <v>18</v>
      </c>
      <c r="AE9" s="36">
        <f t="shared" si="1"/>
        <v>19</v>
      </c>
      <c r="AF9" s="36">
        <f t="shared" si="1"/>
        <v>20</v>
      </c>
      <c r="AG9" s="36">
        <f t="shared" si="1"/>
        <v>21</v>
      </c>
      <c r="AH9" s="36">
        <f t="shared" si="1"/>
        <v>22</v>
      </c>
      <c r="AI9" s="36">
        <f t="shared" si="1"/>
        <v>23</v>
      </c>
      <c r="AJ9" s="36">
        <f t="shared" si="1"/>
        <v>24</v>
      </c>
      <c r="AK9" s="36">
        <f t="shared" si="1"/>
        <v>25</v>
      </c>
      <c r="AL9" s="36">
        <f t="shared" si="1"/>
        <v>26</v>
      </c>
      <c r="AM9" s="36">
        <f t="shared" si="1"/>
        <v>27</v>
      </c>
      <c r="AN9" s="36">
        <f t="shared" si="1"/>
        <v>28</v>
      </c>
      <c r="AO9" s="36">
        <f t="shared" si="1"/>
        <v>29</v>
      </c>
      <c r="AP9" s="36">
        <f t="shared" si="1"/>
        <v>30</v>
      </c>
      <c r="AQ9" s="36">
        <f t="shared" si="1"/>
        <v>31</v>
      </c>
      <c r="AR9" s="36">
        <f t="shared" si="1"/>
        <v>32</v>
      </c>
      <c r="AS9" s="36">
        <f t="shared" si="1"/>
        <v>33</v>
      </c>
      <c r="AT9" s="36">
        <f t="shared" si="1"/>
        <v>34</v>
      </c>
      <c r="AU9" s="36">
        <f t="shared" si="1"/>
        <v>35</v>
      </c>
      <c r="AV9" s="36">
        <f t="shared" si="1"/>
        <v>36</v>
      </c>
      <c r="AW9" s="36">
        <f t="shared" si="1"/>
        <v>37</v>
      </c>
      <c r="AX9" s="36">
        <f t="shared" si="1"/>
        <v>38</v>
      </c>
      <c r="AY9" s="36">
        <f t="shared" si="1"/>
        <v>39</v>
      </c>
      <c r="AZ9" s="36">
        <f t="shared" si="1"/>
        <v>40</v>
      </c>
      <c r="BA9" s="36">
        <f t="shared" si="1"/>
        <v>41</v>
      </c>
      <c r="BB9" s="36">
        <f t="shared" si="1"/>
        <v>42</v>
      </c>
      <c r="BC9" s="36">
        <f t="shared" si="1"/>
        <v>43</v>
      </c>
      <c r="BD9" s="36">
        <f t="shared" si="1"/>
        <v>44</v>
      </c>
      <c r="BE9" s="36">
        <f t="shared" si="1"/>
        <v>45</v>
      </c>
      <c r="BF9" s="36">
        <f t="shared" si="1"/>
        <v>46</v>
      </c>
      <c r="BG9" s="36">
        <f t="shared" si="1"/>
        <v>47</v>
      </c>
      <c r="BH9" s="36">
        <f t="shared" si="1"/>
        <v>48</v>
      </c>
      <c r="BI9" s="36">
        <f t="shared" si="1"/>
        <v>49</v>
      </c>
      <c r="BJ9" s="36">
        <f t="shared" si="1"/>
        <v>50</v>
      </c>
      <c r="BK9" s="36">
        <f t="shared" si="1"/>
        <v>51</v>
      </c>
      <c r="BL9" s="36">
        <f t="shared" si="1"/>
        <v>52</v>
      </c>
      <c r="BM9" s="36">
        <f t="shared" si="1"/>
        <v>53</v>
      </c>
      <c r="BN9" s="36">
        <f t="shared" si="1"/>
        <v>54</v>
      </c>
      <c r="BO9" s="36">
        <f t="shared" si="1"/>
        <v>55</v>
      </c>
      <c r="BP9" s="36">
        <f t="shared" si="1"/>
        <v>56</v>
      </c>
      <c r="BQ9" s="36">
        <f t="shared" si="1"/>
        <v>57</v>
      </c>
      <c r="BR9" s="36">
        <f t="shared" si="1"/>
        <v>58</v>
      </c>
      <c r="BS9" s="36">
        <f t="shared" si="1"/>
        <v>59</v>
      </c>
      <c r="BT9" s="37"/>
    </row>
    <row r="10" spans="1:73" ht="14.55" customHeight="1" thickBot="1">
      <c r="A10" s="713"/>
      <c r="B10" s="710"/>
      <c r="C10" s="710"/>
      <c r="D10" s="710"/>
      <c r="E10" s="710"/>
      <c r="F10" s="28" t="str">
        <f>CONCATENATE("(",$B$5,")")</f>
        <v>(2026 $s)</v>
      </c>
      <c r="G10" s="28" t="str">
        <f>CONCATENATE("(",$B$5,")")</f>
        <v>(2026 $s)</v>
      </c>
      <c r="H10" s="28" t="str">
        <f>CONCATENATE("(",$B$5,")")</f>
        <v>(2026 $s)</v>
      </c>
      <c r="I10" s="706"/>
      <c r="J10" s="706"/>
      <c r="K10" s="33" t="str">
        <f>CONCATENATE("(",B5,")")</f>
        <v>(2026 $s)</v>
      </c>
      <c r="L10" s="5">
        <f>Assumptions!B3</f>
        <v>2026</v>
      </c>
      <c r="M10" s="5">
        <f t="shared" ref="M10:BS10" si="2">L10+1</f>
        <v>2027</v>
      </c>
      <c r="N10" s="5">
        <f t="shared" si="2"/>
        <v>2028</v>
      </c>
      <c r="O10" s="5">
        <f t="shared" si="2"/>
        <v>2029</v>
      </c>
      <c r="P10" s="5">
        <f t="shared" si="2"/>
        <v>2030</v>
      </c>
      <c r="Q10" s="5">
        <f t="shared" si="2"/>
        <v>2031</v>
      </c>
      <c r="R10" s="5">
        <f t="shared" si="2"/>
        <v>2032</v>
      </c>
      <c r="S10" s="5">
        <f t="shared" si="2"/>
        <v>2033</v>
      </c>
      <c r="T10" s="5">
        <f t="shared" si="2"/>
        <v>2034</v>
      </c>
      <c r="U10" s="5">
        <f t="shared" si="2"/>
        <v>2035</v>
      </c>
      <c r="V10" s="5">
        <f t="shared" si="2"/>
        <v>2036</v>
      </c>
      <c r="W10" s="5">
        <f t="shared" si="2"/>
        <v>2037</v>
      </c>
      <c r="X10" s="5">
        <f t="shared" si="2"/>
        <v>2038</v>
      </c>
      <c r="Y10" s="5">
        <f t="shared" si="2"/>
        <v>2039</v>
      </c>
      <c r="Z10" s="5">
        <f t="shared" si="2"/>
        <v>2040</v>
      </c>
      <c r="AA10" s="5">
        <f t="shared" si="2"/>
        <v>2041</v>
      </c>
      <c r="AB10" s="5">
        <f t="shared" si="2"/>
        <v>2042</v>
      </c>
      <c r="AC10" s="5">
        <f t="shared" si="2"/>
        <v>2043</v>
      </c>
      <c r="AD10" s="5">
        <f t="shared" si="2"/>
        <v>2044</v>
      </c>
      <c r="AE10" s="5">
        <f t="shared" si="2"/>
        <v>2045</v>
      </c>
      <c r="AF10" s="5">
        <f t="shared" si="2"/>
        <v>2046</v>
      </c>
      <c r="AG10" s="5">
        <f t="shared" si="2"/>
        <v>2047</v>
      </c>
      <c r="AH10" s="5">
        <f t="shared" si="2"/>
        <v>2048</v>
      </c>
      <c r="AI10" s="5">
        <f t="shared" si="2"/>
        <v>2049</v>
      </c>
      <c r="AJ10" s="5">
        <f t="shared" si="2"/>
        <v>2050</v>
      </c>
      <c r="AK10" s="5">
        <f t="shared" si="2"/>
        <v>2051</v>
      </c>
      <c r="AL10" s="5">
        <f t="shared" si="2"/>
        <v>2052</v>
      </c>
      <c r="AM10" s="5">
        <f t="shared" si="2"/>
        <v>2053</v>
      </c>
      <c r="AN10" s="5">
        <f t="shared" si="2"/>
        <v>2054</v>
      </c>
      <c r="AO10" s="5">
        <f t="shared" si="2"/>
        <v>2055</v>
      </c>
      <c r="AP10" s="5">
        <f t="shared" si="2"/>
        <v>2056</v>
      </c>
      <c r="AQ10" s="5">
        <f t="shared" si="2"/>
        <v>2057</v>
      </c>
      <c r="AR10" s="5">
        <f t="shared" si="2"/>
        <v>2058</v>
      </c>
      <c r="AS10" s="5">
        <f t="shared" si="2"/>
        <v>2059</v>
      </c>
      <c r="AT10" s="5">
        <f t="shared" si="2"/>
        <v>2060</v>
      </c>
      <c r="AU10" s="5">
        <f t="shared" si="2"/>
        <v>2061</v>
      </c>
      <c r="AV10" s="5">
        <f t="shared" si="2"/>
        <v>2062</v>
      </c>
      <c r="AW10" s="5">
        <f t="shared" si="2"/>
        <v>2063</v>
      </c>
      <c r="AX10" s="5">
        <f t="shared" si="2"/>
        <v>2064</v>
      </c>
      <c r="AY10" s="5">
        <f t="shared" si="2"/>
        <v>2065</v>
      </c>
      <c r="AZ10" s="5">
        <f t="shared" si="2"/>
        <v>2066</v>
      </c>
      <c r="BA10" s="5">
        <f t="shared" si="2"/>
        <v>2067</v>
      </c>
      <c r="BB10" s="5">
        <f t="shared" si="2"/>
        <v>2068</v>
      </c>
      <c r="BC10" s="5">
        <f t="shared" si="2"/>
        <v>2069</v>
      </c>
      <c r="BD10" s="5">
        <f t="shared" si="2"/>
        <v>2070</v>
      </c>
      <c r="BE10" s="5">
        <f t="shared" si="2"/>
        <v>2071</v>
      </c>
      <c r="BF10" s="5">
        <f t="shared" si="2"/>
        <v>2072</v>
      </c>
      <c r="BG10" s="5">
        <f t="shared" si="2"/>
        <v>2073</v>
      </c>
      <c r="BH10" s="5">
        <f t="shared" si="2"/>
        <v>2074</v>
      </c>
      <c r="BI10" s="5">
        <f t="shared" si="2"/>
        <v>2075</v>
      </c>
      <c r="BJ10" s="5">
        <f t="shared" si="2"/>
        <v>2076</v>
      </c>
      <c r="BK10" s="5">
        <f t="shared" si="2"/>
        <v>2077</v>
      </c>
      <c r="BL10" s="5">
        <f t="shared" si="2"/>
        <v>2078</v>
      </c>
      <c r="BM10" s="5">
        <f t="shared" si="2"/>
        <v>2079</v>
      </c>
      <c r="BN10" s="5">
        <f t="shared" si="2"/>
        <v>2080</v>
      </c>
      <c r="BO10" s="5">
        <f t="shared" si="2"/>
        <v>2081</v>
      </c>
      <c r="BP10" s="5">
        <f t="shared" si="2"/>
        <v>2082</v>
      </c>
      <c r="BQ10" s="5">
        <f t="shared" si="2"/>
        <v>2083</v>
      </c>
      <c r="BR10" s="5">
        <f t="shared" si="2"/>
        <v>2084</v>
      </c>
      <c r="BS10" s="5">
        <f t="shared" si="2"/>
        <v>2085</v>
      </c>
      <c r="BT10" s="38" t="s">
        <v>6</v>
      </c>
    </row>
    <row r="11" spans="1:73" ht="13.5" customHeight="1">
      <c r="A11" s="8" t="s">
        <v>13</v>
      </c>
      <c r="B11" s="9" t="s">
        <v>12</v>
      </c>
      <c r="C11" s="9" t="s">
        <v>96</v>
      </c>
      <c r="D11" s="9" t="s">
        <v>97</v>
      </c>
      <c r="E11" s="9" t="s">
        <v>15</v>
      </c>
      <c r="F11" s="11" t="s">
        <v>14</v>
      </c>
      <c r="G11" s="11" t="s">
        <v>16</v>
      </c>
      <c r="H11" s="11" t="s">
        <v>17</v>
      </c>
      <c r="I11" s="11" t="s">
        <v>18</v>
      </c>
      <c r="J11" s="11" t="s">
        <v>19</v>
      </c>
      <c r="K11" s="34" t="s">
        <v>98</v>
      </c>
      <c r="L11" s="46"/>
      <c r="M11" s="46"/>
      <c r="N11" s="40" t="str">
        <f t="shared" ref="N11" si="3">IF(AND(N$10=$C11,N$10=$D11),(($K11/$E11)*N$6),IF(AND(N$10&gt;=$C11,N$10&lt;=$D11),(($K11/$E11)*N$6),""))</f>
        <v/>
      </c>
      <c r="O11" s="46"/>
      <c r="P11" s="46"/>
      <c r="Q11" s="46"/>
      <c r="R11" s="46"/>
      <c r="S11" s="46"/>
      <c r="T11" s="46"/>
      <c r="U11" s="46"/>
      <c r="V11" s="46"/>
      <c r="W11" s="46"/>
      <c r="X11" s="46"/>
      <c r="Y11" s="46"/>
      <c r="Z11" s="46"/>
      <c r="AA11" s="46"/>
      <c r="AB11" s="46"/>
      <c r="AC11" s="46"/>
      <c r="AD11" s="46"/>
      <c r="AE11" s="47"/>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39"/>
    </row>
    <row r="12" spans="1:73" ht="13.5" customHeight="1">
      <c r="A12" s="624">
        <v>5</v>
      </c>
      <c r="B12" s="625" t="str">
        <f>INDEX('T-Transportation'!$C$6:$C$44,MATCH(Table195781011121314236172728151617187202128[[#This Row],[a]],'T-Transportation'!$B$6:$B$44,0))</f>
        <v>Twinning of 32 Street from North Railway Street to 338 Avenue</v>
      </c>
      <c r="C12" s="129">
        <f>INDEX('T-Transportation'!$G$6:$G$17,MATCH(Table195781011121314236172728151617187202128[[#This Row],[a]],'T-Transportation'!$B$6:$B$17,0))</f>
        <v>2036</v>
      </c>
      <c r="D12" s="121">
        <f>INDEX('T-Transportation'!$H$6:$H$17,MATCH(Table195781011121314236172728151617187202128[[#This Row],[a]],'T-Transportation'!$B$6:$B$17,0))</f>
        <v>2045</v>
      </c>
      <c r="E12" s="130">
        <f>(D12-C12)+1</f>
        <v>10</v>
      </c>
      <c r="F12" s="619">
        <f>INDEX('T-Transportation'!$L$6:$L$17,MATCH(Table195781011121314236172728151617187202128[[#This Row],[a]],'T-Transportation'!$B$6:$B$17,0))</f>
        <v>11880467.499999996</v>
      </c>
      <c r="G12" s="123"/>
      <c r="H12" s="131">
        <f>+Table195781011121314236172728151617187202128[[#This Row],[f]]-Table195781011121314236172728151617187202128[[#This Row],[g]]</f>
        <v>11880467.499999996</v>
      </c>
      <c r="I12" s="216">
        <f>INDEX('T-Transportation'!$I$6:$I$17,MATCH(Table195781011121314236172728151617187202128[[#This Row],[a]],'T-Transportation'!$B$6:$B$17,0))</f>
        <v>0.503</v>
      </c>
      <c r="J12" s="125">
        <f>1-Table195781011121314236172728151617187202128[[#This Row],[i]]</f>
        <v>0.497</v>
      </c>
      <c r="K12" s="132">
        <f>(Table195781011121314236172728151617187202128[[#This Row],[h]]*Table195781011121314236172728151617187202128[[#This Row],[i]])</f>
        <v>5975875.152499998</v>
      </c>
      <c r="L12" s="40" t="str">
        <f t="shared" ref="L12:AA23" si="4">IF(AND(L$10=$C12,L$10=$D12),(($K12/$E12)*L$6),IF(AND(L$10&gt;=$C12,L$10&lt;=$D12),(($K12/$E12)*L$6),""))</f>
        <v/>
      </c>
      <c r="M12" s="40" t="str">
        <f t="shared" si="4"/>
        <v/>
      </c>
      <c r="N12" s="40" t="str">
        <f t="shared" si="4"/>
        <v/>
      </c>
      <c r="O12" s="40" t="str">
        <f t="shared" si="4"/>
        <v/>
      </c>
      <c r="P12" s="40" t="str">
        <f t="shared" si="4"/>
        <v/>
      </c>
      <c r="Q12" s="40" t="str">
        <f t="shared" si="4"/>
        <v/>
      </c>
      <c r="R12" s="40" t="str">
        <f t="shared" si="4"/>
        <v/>
      </c>
      <c r="S12" s="40" t="str">
        <f t="shared" si="4"/>
        <v/>
      </c>
      <c r="T12" s="40" t="str">
        <f t="shared" si="4"/>
        <v/>
      </c>
      <c r="U12" s="40" t="str">
        <f t="shared" si="4"/>
        <v/>
      </c>
      <c r="V12" s="40">
        <f t="shared" si="4"/>
        <v>764962.54207622935</v>
      </c>
      <c r="W12" s="40">
        <f t="shared" si="4"/>
        <v>784086.60562813503</v>
      </c>
      <c r="X12" s="40">
        <f t="shared" si="4"/>
        <v>803688.77076883835</v>
      </c>
      <c r="Y12" s="40">
        <f t="shared" si="4"/>
        <v>823780.9900380593</v>
      </c>
      <c r="Z12" s="40">
        <f t="shared" si="4"/>
        <v>844375.51478901075</v>
      </c>
      <c r="AA12" s="40">
        <f t="shared" si="4"/>
        <v>865484.90265873587</v>
      </c>
      <c r="AB12" s="40">
        <f t="shared" ref="AB12:AQ22" si="5">IF(AND(AB$10=$C12,AB$10=$D12),(($K12/$E12)*AB$6),IF(AND(AB$10&gt;=$C12,AB$10&lt;=$D12),(($K12/$E12)*AB$6),""))</f>
        <v>887122.02522520418</v>
      </c>
      <c r="AC12" s="40">
        <f t="shared" si="5"/>
        <v>909300.07585583418</v>
      </c>
      <c r="AD12" s="40">
        <f t="shared" si="5"/>
        <v>932032.57775222999</v>
      </c>
      <c r="AE12" s="40">
        <f t="shared" si="5"/>
        <v>955333.39219603559</v>
      </c>
      <c r="AF12" s="40" t="str">
        <f t="shared" si="5"/>
        <v/>
      </c>
      <c r="AG12" s="40" t="str">
        <f t="shared" si="5"/>
        <v/>
      </c>
      <c r="AH12" s="40" t="str">
        <f t="shared" si="5"/>
        <v/>
      </c>
      <c r="AI12" s="40" t="str">
        <f t="shared" si="5"/>
        <v/>
      </c>
      <c r="AJ12" s="40" t="str">
        <f t="shared" si="5"/>
        <v/>
      </c>
      <c r="AK12" s="40" t="str">
        <f t="shared" si="5"/>
        <v/>
      </c>
      <c r="AL12" s="40" t="str">
        <f t="shared" si="5"/>
        <v/>
      </c>
      <c r="AM12" s="40" t="str">
        <f t="shared" si="5"/>
        <v/>
      </c>
      <c r="AN12" s="40" t="str">
        <f t="shared" si="5"/>
        <v/>
      </c>
      <c r="AO12" s="40" t="str">
        <f t="shared" si="5"/>
        <v/>
      </c>
      <c r="AP12" s="40" t="str">
        <f t="shared" si="5"/>
        <v/>
      </c>
      <c r="AQ12" s="40" t="str">
        <f t="shared" si="5"/>
        <v/>
      </c>
      <c r="AR12" s="40" t="str">
        <f t="shared" ref="AR12:BG22" si="6">IF(AND(AR$10=$C12,AR$10=$D12),(($K12/$E12)*AR$6),IF(AND(AR$10&gt;=$C12,AR$10&lt;=$D12),(($K12/$E12)*AR$6),""))</f>
        <v/>
      </c>
      <c r="AS12" s="40" t="str">
        <f t="shared" si="6"/>
        <v/>
      </c>
      <c r="AT12" s="40" t="str">
        <f t="shared" si="6"/>
        <v/>
      </c>
      <c r="AU12" s="40" t="str">
        <f t="shared" si="6"/>
        <v/>
      </c>
      <c r="AV12" s="40" t="str">
        <f t="shared" si="6"/>
        <v/>
      </c>
      <c r="AW12" s="40" t="str">
        <f t="shared" si="6"/>
        <v/>
      </c>
      <c r="AX12" s="40" t="str">
        <f t="shared" si="6"/>
        <v/>
      </c>
      <c r="AY12" s="40" t="str">
        <f t="shared" si="6"/>
        <v/>
      </c>
      <c r="AZ12" s="40" t="str">
        <f t="shared" si="6"/>
        <v/>
      </c>
      <c r="BA12" s="40" t="str">
        <f t="shared" si="6"/>
        <v/>
      </c>
      <c r="BB12" s="40" t="str">
        <f t="shared" si="6"/>
        <v/>
      </c>
      <c r="BC12" s="40" t="str">
        <f t="shared" si="6"/>
        <v/>
      </c>
      <c r="BD12" s="40" t="str">
        <f t="shared" si="6"/>
        <v/>
      </c>
      <c r="BE12" s="40" t="str">
        <f t="shared" si="6"/>
        <v/>
      </c>
      <c r="BF12" s="40" t="str">
        <f t="shared" si="6"/>
        <v/>
      </c>
      <c r="BG12" s="40" t="str">
        <f t="shared" si="6"/>
        <v/>
      </c>
      <c r="BH12" s="40" t="str">
        <f t="shared" ref="BH12:BS22" si="7">IF(AND(BH$10=$C12,BH$10=$D12),(($K12/$E12)*BH$6),IF(AND(BH$10&gt;=$C12,BH$10&lt;=$D12),(($K12/$E12)*BH$6),""))</f>
        <v/>
      </c>
      <c r="BI12" s="40" t="str">
        <f t="shared" si="7"/>
        <v/>
      </c>
      <c r="BJ12" s="40" t="str">
        <f t="shared" si="7"/>
        <v/>
      </c>
      <c r="BK12" s="40" t="str">
        <f t="shared" si="7"/>
        <v/>
      </c>
      <c r="BL12" s="40" t="str">
        <f t="shared" si="7"/>
        <v/>
      </c>
      <c r="BM12" s="40" t="str">
        <f t="shared" si="7"/>
        <v/>
      </c>
      <c r="BN12" s="40" t="str">
        <f t="shared" si="7"/>
        <v/>
      </c>
      <c r="BO12" s="40" t="str">
        <f t="shared" si="7"/>
        <v/>
      </c>
      <c r="BP12" s="40" t="str">
        <f t="shared" si="7"/>
        <v/>
      </c>
      <c r="BQ12" s="40" t="str">
        <f t="shared" si="7"/>
        <v/>
      </c>
      <c r="BR12" s="40" t="str">
        <f t="shared" si="7"/>
        <v/>
      </c>
      <c r="BS12" s="40" t="str">
        <f t="shared" si="7"/>
        <v/>
      </c>
      <c r="BT12" s="113">
        <f>SUM(L12:BS12)</f>
        <v>8570167.3969883118</v>
      </c>
    </row>
    <row r="13" spans="1:73" ht="13.5" customHeight="1">
      <c r="A13" s="624" t="s">
        <v>267</v>
      </c>
      <c r="B13" s="625" t="str">
        <f>INDEX('T-Transportation'!$C$6:$C$44,MATCH(Table195781011121314236172728151617187202128[[#This Row],[a]],'T-Transportation'!$B$6:$B$44,0))</f>
        <v xml:space="preserve">Northridge Drive Urbanization Phase 3 </v>
      </c>
      <c r="C13" s="120">
        <f>INDEX('T-Transportation'!$G$6:$G$17,MATCH(Table195781011121314236172728151617187202128[[#This Row],[a]],'T-Transportation'!$B$6:$B$17,0))</f>
        <v>2026</v>
      </c>
      <c r="D13" s="121">
        <f>INDEX('T-Transportation'!$H$6:$H$17,MATCH(Table195781011121314236172728151617187202128[[#This Row],[a]],'T-Transportation'!$B$6:$B$17,0))</f>
        <v>2026</v>
      </c>
      <c r="E13" s="122">
        <f>(D13-C13)+1</f>
        <v>1</v>
      </c>
      <c r="F13" s="619">
        <f>INDEX('T-Transportation'!$L$6:$L$17,MATCH(Table195781011121314236172728151617187202128[[#This Row],[a]],'T-Transportation'!$B$6:$B$17,0))</f>
        <v>47347</v>
      </c>
      <c r="G13" s="123"/>
      <c r="H13" s="124">
        <f>+Table195781011121314236172728151617187202128[[#This Row],[f]]-Table195781011121314236172728151617187202128[[#This Row],[g]]</f>
        <v>47347</v>
      </c>
      <c r="I13" s="216">
        <f>INDEX('T-Transportation'!$I$6:$I$17,MATCH(Table195781011121314236172728151617187202128[[#This Row],[a]],'T-Transportation'!$B$6:$B$17,0))</f>
        <v>0.75</v>
      </c>
      <c r="J13" s="125">
        <f>1-Table195781011121314236172728151617187202128[[#This Row],[i]]</f>
        <v>0.25</v>
      </c>
      <c r="K13" s="126">
        <f>(Table195781011121314236172728151617187202128[[#This Row],[h]]*Table195781011121314236172728151617187202128[[#This Row],[i]])</f>
        <v>35510.25</v>
      </c>
      <c r="L13" s="40">
        <f t="shared" si="4"/>
        <v>35510.25</v>
      </c>
      <c r="M13" s="40" t="str">
        <f t="shared" si="4"/>
        <v/>
      </c>
      <c r="N13" s="40" t="str">
        <f t="shared" si="4"/>
        <v/>
      </c>
      <c r="O13" s="40" t="str">
        <f t="shared" si="4"/>
        <v/>
      </c>
      <c r="P13" s="40" t="str">
        <f t="shared" si="4"/>
        <v/>
      </c>
      <c r="Q13" s="40" t="str">
        <f t="shared" si="4"/>
        <v/>
      </c>
      <c r="R13" s="40" t="str">
        <f t="shared" si="4"/>
        <v/>
      </c>
      <c r="S13" s="40" t="str">
        <f t="shared" si="4"/>
        <v/>
      </c>
      <c r="T13" s="40" t="str">
        <f t="shared" si="4"/>
        <v/>
      </c>
      <c r="U13" s="40" t="str">
        <f t="shared" si="4"/>
        <v/>
      </c>
      <c r="V13" s="40" t="str">
        <f t="shared" si="4"/>
        <v/>
      </c>
      <c r="W13" s="40" t="str">
        <f t="shared" si="4"/>
        <v/>
      </c>
      <c r="X13" s="40" t="str">
        <f t="shared" si="4"/>
        <v/>
      </c>
      <c r="Y13" s="40" t="str">
        <f t="shared" si="4"/>
        <v/>
      </c>
      <c r="Z13" s="40" t="str">
        <f t="shared" si="4"/>
        <v/>
      </c>
      <c r="AA13" s="40" t="str">
        <f t="shared" si="4"/>
        <v/>
      </c>
      <c r="AB13" s="40" t="str">
        <f t="shared" si="5"/>
        <v/>
      </c>
      <c r="AC13" s="40" t="str">
        <f t="shared" si="5"/>
        <v/>
      </c>
      <c r="AD13" s="40" t="str">
        <f t="shared" si="5"/>
        <v/>
      </c>
      <c r="AE13" s="40" t="str">
        <f t="shared" si="5"/>
        <v/>
      </c>
      <c r="AF13" s="40" t="str">
        <f t="shared" si="5"/>
        <v/>
      </c>
      <c r="AG13" s="40" t="str">
        <f t="shared" si="5"/>
        <v/>
      </c>
      <c r="AH13" s="40" t="str">
        <f t="shared" si="5"/>
        <v/>
      </c>
      <c r="AI13" s="40" t="str">
        <f t="shared" si="5"/>
        <v/>
      </c>
      <c r="AJ13" s="40" t="str">
        <f t="shared" si="5"/>
        <v/>
      </c>
      <c r="AK13" s="40" t="str">
        <f t="shared" si="5"/>
        <v/>
      </c>
      <c r="AL13" s="40" t="str">
        <f t="shared" si="5"/>
        <v/>
      </c>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113">
        <f t="shared" ref="BT13:BT22" si="8">SUM(L13:BS13)</f>
        <v>35510.25</v>
      </c>
    </row>
    <row r="14" spans="1:73" ht="13.5" customHeight="1">
      <c r="A14" s="624">
        <v>8</v>
      </c>
      <c r="B14" s="625" t="str">
        <f>INDEX('T-Transportation'!$C$6:$C$44,MATCH(Table195781011121314236172728151617187202128[[#This Row],[a]],'T-Transportation'!$B$6:$B$44,0))</f>
        <v xml:space="preserve">Intersection Improvements - Southridge Drive and HWY 7 </v>
      </c>
      <c r="C14" s="120">
        <f>INDEX('T-Transportation'!$G$6:$G$17,MATCH(Table195781011121314236172728151617187202128[[#This Row],[a]],'T-Transportation'!$B$6:$B$17,0))</f>
        <v>2028</v>
      </c>
      <c r="D14" s="121">
        <f>INDEX('T-Transportation'!$H$6:$H$17,MATCH(Table195781011121314236172728151617187202128[[#This Row],[a]],'T-Transportation'!$B$6:$B$17,0))</f>
        <v>2035</v>
      </c>
      <c r="E14" s="122">
        <f t="shared" ref="E14" si="9">(D14-C14)+1</f>
        <v>8</v>
      </c>
      <c r="F14" s="619">
        <f>INDEX('T-Transportation'!$L$6:$L$17,MATCH(Table195781011121314236172728151617187202128[[#This Row],[a]],'T-Transportation'!$B$6:$B$17,0))</f>
        <v>2820928.1249999991</v>
      </c>
      <c r="G14" s="123"/>
      <c r="H14" s="124">
        <f>+Table195781011121314236172728151617187202128[[#This Row],[f]]-Table195781011121314236172728151617187202128[[#This Row],[g]]</f>
        <v>2820928.1249999991</v>
      </c>
      <c r="I14" s="216">
        <f>INDEX('T-Transportation'!$I$6:$I$17,MATCH(Table195781011121314236172728151617187202128[[#This Row],[a]],'T-Transportation'!$B$6:$B$17,0))</f>
        <v>0.503</v>
      </c>
      <c r="J14" s="125">
        <f>1-Table195781011121314236172728151617187202128[[#This Row],[i]]</f>
        <v>0.497</v>
      </c>
      <c r="K14" s="126">
        <f>(Table195781011121314236172728151617187202128[[#This Row],[h]]*Table195781011121314236172728151617187202128[[#This Row],[i]])</f>
        <v>1418926.8468749996</v>
      </c>
      <c r="L14" s="40" t="str">
        <f t="shared" si="4"/>
        <v/>
      </c>
      <c r="M14" s="40" t="str">
        <f t="shared" si="4"/>
        <v/>
      </c>
      <c r="N14" s="40">
        <f t="shared" si="4"/>
        <v>186345.00231225579</v>
      </c>
      <c r="O14" s="40">
        <f t="shared" si="4"/>
        <v>191003.62737006217</v>
      </c>
      <c r="P14" s="40">
        <f t="shared" si="4"/>
        <v>195778.71805431371</v>
      </c>
      <c r="Q14" s="40">
        <f t="shared" si="4"/>
        <v>200673.18600567154</v>
      </c>
      <c r="R14" s="40">
        <f t="shared" si="4"/>
        <v>205690.0156558133</v>
      </c>
      <c r="S14" s="40">
        <f t="shared" si="4"/>
        <v>210832.26604720863</v>
      </c>
      <c r="T14" s="40">
        <f t="shared" si="4"/>
        <v>216103.0726983888</v>
      </c>
      <c r="U14" s="40">
        <f t="shared" si="4"/>
        <v>221505.64951584849</v>
      </c>
      <c r="V14" s="40" t="str">
        <f t="shared" si="4"/>
        <v/>
      </c>
      <c r="W14" s="40" t="str">
        <f t="shared" si="4"/>
        <v/>
      </c>
      <c r="X14" s="40" t="str">
        <f t="shared" si="4"/>
        <v/>
      </c>
      <c r="Y14" s="40" t="str">
        <f t="shared" si="4"/>
        <v/>
      </c>
      <c r="Z14" s="40" t="str">
        <f t="shared" si="4"/>
        <v/>
      </c>
      <c r="AA14" s="40" t="str">
        <f t="shared" si="4"/>
        <v/>
      </c>
      <c r="AB14" s="40" t="str">
        <f t="shared" si="5"/>
        <v/>
      </c>
      <c r="AC14" s="40" t="str">
        <f t="shared" si="5"/>
        <v/>
      </c>
      <c r="AD14" s="40" t="str">
        <f t="shared" si="5"/>
        <v/>
      </c>
      <c r="AE14" s="40" t="str">
        <f t="shared" si="5"/>
        <v/>
      </c>
      <c r="AF14" s="40" t="str">
        <f t="shared" si="5"/>
        <v/>
      </c>
      <c r="AG14" s="40" t="str">
        <f t="shared" si="5"/>
        <v/>
      </c>
      <c r="AH14" s="40" t="str">
        <f t="shared" si="5"/>
        <v/>
      </c>
      <c r="AI14" s="40" t="str">
        <f t="shared" si="5"/>
        <v/>
      </c>
      <c r="AJ14" s="40" t="str">
        <f t="shared" si="5"/>
        <v/>
      </c>
      <c r="AK14" s="40" t="str">
        <f t="shared" si="5"/>
        <v/>
      </c>
      <c r="AL14" s="40" t="str">
        <f t="shared" si="5"/>
        <v/>
      </c>
      <c r="AM14" s="40" t="str">
        <f t="shared" si="5"/>
        <v/>
      </c>
      <c r="AN14" s="40" t="str">
        <f t="shared" si="5"/>
        <v/>
      </c>
      <c r="AO14" s="40" t="str">
        <f t="shared" si="5"/>
        <v/>
      </c>
      <c r="AP14" s="40" t="str">
        <f t="shared" si="5"/>
        <v/>
      </c>
      <c r="AQ14" s="40" t="str">
        <f t="shared" si="5"/>
        <v/>
      </c>
      <c r="AR14" s="40" t="str">
        <f t="shared" si="6"/>
        <v/>
      </c>
      <c r="AS14" s="40" t="str">
        <f t="shared" si="6"/>
        <v/>
      </c>
      <c r="AT14" s="40" t="str">
        <f t="shared" si="6"/>
        <v/>
      </c>
      <c r="AU14" s="40" t="str">
        <f t="shared" si="6"/>
        <v/>
      </c>
      <c r="AV14" s="40" t="str">
        <f t="shared" si="6"/>
        <v/>
      </c>
      <c r="AW14" s="40" t="str">
        <f t="shared" si="6"/>
        <v/>
      </c>
      <c r="AX14" s="40" t="str">
        <f t="shared" si="6"/>
        <v/>
      </c>
      <c r="AY14" s="40" t="str">
        <f t="shared" si="6"/>
        <v/>
      </c>
      <c r="AZ14" s="40" t="str">
        <f t="shared" si="6"/>
        <v/>
      </c>
      <c r="BA14" s="40" t="str">
        <f t="shared" si="6"/>
        <v/>
      </c>
      <c r="BB14" s="40" t="str">
        <f t="shared" si="6"/>
        <v/>
      </c>
      <c r="BC14" s="40" t="str">
        <f t="shared" si="6"/>
        <v/>
      </c>
      <c r="BD14" s="40" t="str">
        <f t="shared" si="6"/>
        <v/>
      </c>
      <c r="BE14" s="40" t="str">
        <f t="shared" si="6"/>
        <v/>
      </c>
      <c r="BF14" s="40" t="str">
        <f t="shared" si="6"/>
        <v/>
      </c>
      <c r="BG14" s="40" t="str">
        <f t="shared" si="6"/>
        <v/>
      </c>
      <c r="BH14" s="40" t="str">
        <f t="shared" si="7"/>
        <v/>
      </c>
      <c r="BI14" s="40" t="str">
        <f t="shared" si="7"/>
        <v/>
      </c>
      <c r="BJ14" s="40" t="str">
        <f t="shared" si="7"/>
        <v/>
      </c>
      <c r="BK14" s="40" t="str">
        <f t="shared" si="7"/>
        <v/>
      </c>
      <c r="BL14" s="40" t="str">
        <f t="shared" si="7"/>
        <v/>
      </c>
      <c r="BM14" s="40" t="str">
        <f t="shared" si="7"/>
        <v/>
      </c>
      <c r="BN14" s="40" t="str">
        <f t="shared" si="7"/>
        <v/>
      </c>
      <c r="BO14" s="40" t="str">
        <f t="shared" si="7"/>
        <v/>
      </c>
      <c r="BP14" s="40" t="str">
        <f t="shared" si="7"/>
        <v/>
      </c>
      <c r="BQ14" s="40" t="str">
        <f t="shared" si="7"/>
        <v/>
      </c>
      <c r="BR14" s="40" t="str">
        <f t="shared" si="7"/>
        <v/>
      </c>
      <c r="BS14" s="40" t="str">
        <f t="shared" si="7"/>
        <v/>
      </c>
      <c r="BT14" s="113">
        <f t="shared" si="8"/>
        <v>1627931.5376595622</v>
      </c>
    </row>
    <row r="15" spans="1:73" ht="13.5" customHeight="1">
      <c r="A15" s="624">
        <v>33</v>
      </c>
      <c r="B15" s="625" t="str">
        <f>INDEX('T-Transportation'!$C$6:$C$44,MATCH(Table195781011121314236172728151617187202128[[#This Row],[a]],'T-Transportation'!$B$6:$B$44,0))</f>
        <v xml:space="preserve"> Northridge Drive and 338 Avenue</v>
      </c>
      <c r="C15" s="120">
        <f>INDEX('T-Transportation'!$G$6:$G$17,MATCH(Table195781011121314236172728151617187202128[[#This Row],[a]],'T-Transportation'!$B$6:$B$17,0))</f>
        <v>2040</v>
      </c>
      <c r="D15" s="121">
        <f>INDEX('T-Transportation'!$H$6:$H$17,MATCH(Table195781011121314236172728151617187202128[[#This Row],[a]],'T-Transportation'!$B$6:$B$17,0))</f>
        <v>2042</v>
      </c>
      <c r="E15" s="122">
        <f t="shared" ref="E15" si="10">(D15-C15)+1</f>
        <v>3</v>
      </c>
      <c r="F15" s="619">
        <f>INDEX('T-Transportation'!$L$6:$L$17,MATCH(Table195781011121314236172728151617187202128[[#This Row],[a]],'T-Transportation'!$B$6:$B$17,0))</f>
        <v>219580.62499999994</v>
      </c>
      <c r="G15" s="123"/>
      <c r="H15" s="124">
        <f>+Table195781011121314236172728151617187202128[[#This Row],[f]]-Table195781011121314236172728151617187202128[[#This Row],[g]]</f>
        <v>219580.62499999994</v>
      </c>
      <c r="I15" s="216">
        <f>INDEX('T-Transportation'!$I$6:$I$17,MATCH(Table195781011121314236172728151617187202128[[#This Row],[a]],'T-Transportation'!$B$6:$B$17,0))</f>
        <v>0.503</v>
      </c>
      <c r="J15" s="125">
        <f>1-Table195781011121314236172728151617187202128[[#This Row],[i]]</f>
        <v>0.497</v>
      </c>
      <c r="K15" s="126">
        <f>(Table195781011121314236172728151617187202128[[#This Row],[h]]*Table195781011121314236172728151617187202128[[#This Row],[i]])</f>
        <v>110449.05437499998</v>
      </c>
      <c r="L15" s="40" t="str">
        <f t="shared" si="4"/>
        <v/>
      </c>
      <c r="M15" s="40" t="str">
        <f t="shared" si="4"/>
        <v/>
      </c>
      <c r="N15" s="40" t="str">
        <f t="shared" si="4"/>
        <v/>
      </c>
      <c r="O15" s="40" t="str">
        <f t="shared" si="4"/>
        <v/>
      </c>
      <c r="P15" s="40" t="str">
        <f t="shared" si="4"/>
        <v/>
      </c>
      <c r="Q15" s="40" t="str">
        <f t="shared" si="4"/>
        <v/>
      </c>
      <c r="R15" s="40" t="str">
        <f t="shared" si="4"/>
        <v/>
      </c>
      <c r="S15" s="40" t="str">
        <f t="shared" si="4"/>
        <v/>
      </c>
      <c r="T15" s="40" t="str">
        <f t="shared" si="4"/>
        <v/>
      </c>
      <c r="U15" s="40" t="str">
        <f t="shared" si="4"/>
        <v/>
      </c>
      <c r="V15" s="40" t="str">
        <f t="shared" si="4"/>
        <v/>
      </c>
      <c r="W15" s="40" t="str">
        <f t="shared" si="4"/>
        <v/>
      </c>
      <c r="X15" s="40" t="str">
        <f t="shared" si="4"/>
        <v/>
      </c>
      <c r="Y15" s="40" t="str">
        <f t="shared" si="4"/>
        <v/>
      </c>
      <c r="Z15" s="40">
        <f t="shared" si="4"/>
        <v>52020.540794394306</v>
      </c>
      <c r="AA15" s="40">
        <f t="shared" si="4"/>
        <v>53321.054314254157</v>
      </c>
      <c r="AB15" s="40">
        <f t="shared" si="5"/>
        <v>54654.080672110504</v>
      </c>
      <c r="AC15" s="40" t="str">
        <f t="shared" si="5"/>
        <v/>
      </c>
      <c r="AD15" s="40" t="str">
        <f t="shared" si="5"/>
        <v/>
      </c>
      <c r="AE15" s="40" t="str">
        <f t="shared" si="5"/>
        <v/>
      </c>
      <c r="AF15" s="40" t="str">
        <f t="shared" si="5"/>
        <v/>
      </c>
      <c r="AG15" s="40" t="str">
        <f t="shared" si="5"/>
        <v/>
      </c>
      <c r="AH15" s="40" t="str">
        <f t="shared" si="5"/>
        <v/>
      </c>
      <c r="AI15" s="40" t="str">
        <f t="shared" si="5"/>
        <v/>
      </c>
      <c r="AJ15" s="40" t="str">
        <f t="shared" si="5"/>
        <v/>
      </c>
      <c r="AK15" s="40" t="str">
        <f t="shared" si="5"/>
        <v/>
      </c>
      <c r="AL15" s="40" t="str">
        <f t="shared" si="5"/>
        <v/>
      </c>
      <c r="AM15" s="40" t="str">
        <f t="shared" si="5"/>
        <v/>
      </c>
      <c r="AN15" s="40" t="str">
        <f t="shared" si="5"/>
        <v/>
      </c>
      <c r="AO15" s="40" t="str">
        <f t="shared" si="5"/>
        <v/>
      </c>
      <c r="AP15" s="40" t="str">
        <f t="shared" si="5"/>
        <v/>
      </c>
      <c r="AQ15" s="40" t="str">
        <f t="shared" si="5"/>
        <v/>
      </c>
      <c r="AR15" s="40" t="str">
        <f t="shared" si="6"/>
        <v/>
      </c>
      <c r="AS15" s="40" t="str">
        <f t="shared" si="6"/>
        <v/>
      </c>
      <c r="AT15" s="40" t="str">
        <f t="shared" si="6"/>
        <v/>
      </c>
      <c r="AU15" s="40" t="str">
        <f t="shared" si="6"/>
        <v/>
      </c>
      <c r="AV15" s="40" t="str">
        <f t="shared" si="6"/>
        <v/>
      </c>
      <c r="AW15" s="40" t="str">
        <f t="shared" si="6"/>
        <v/>
      </c>
      <c r="AX15" s="40" t="str">
        <f t="shared" si="6"/>
        <v/>
      </c>
      <c r="AY15" s="40" t="str">
        <f t="shared" si="6"/>
        <v/>
      </c>
      <c r="AZ15" s="40" t="str">
        <f t="shared" si="6"/>
        <v/>
      </c>
      <c r="BA15" s="40" t="str">
        <f t="shared" si="6"/>
        <v/>
      </c>
      <c r="BB15" s="40" t="str">
        <f t="shared" si="6"/>
        <v/>
      </c>
      <c r="BC15" s="40" t="str">
        <f t="shared" si="6"/>
        <v/>
      </c>
      <c r="BD15" s="40" t="str">
        <f t="shared" si="6"/>
        <v/>
      </c>
      <c r="BE15" s="40" t="str">
        <f t="shared" si="6"/>
        <v/>
      </c>
      <c r="BF15" s="40" t="str">
        <f t="shared" si="6"/>
        <v/>
      </c>
      <c r="BG15" s="40" t="str">
        <f t="shared" si="6"/>
        <v/>
      </c>
      <c r="BH15" s="40" t="str">
        <f t="shared" si="7"/>
        <v/>
      </c>
      <c r="BI15" s="40" t="str">
        <f t="shared" si="7"/>
        <v/>
      </c>
      <c r="BJ15" s="40" t="str">
        <f t="shared" si="7"/>
        <v/>
      </c>
      <c r="BK15" s="40" t="str">
        <f t="shared" si="7"/>
        <v/>
      </c>
      <c r="BL15" s="40" t="str">
        <f t="shared" si="7"/>
        <v/>
      </c>
      <c r="BM15" s="40" t="str">
        <f t="shared" si="7"/>
        <v/>
      </c>
      <c r="BN15" s="40" t="str">
        <f t="shared" si="7"/>
        <v/>
      </c>
      <c r="BO15" s="40" t="str">
        <f t="shared" si="7"/>
        <v/>
      </c>
      <c r="BP15" s="40" t="str">
        <f t="shared" si="7"/>
        <v/>
      </c>
      <c r="BQ15" s="40" t="str">
        <f t="shared" si="7"/>
        <v/>
      </c>
      <c r="BR15" s="40" t="str">
        <f t="shared" si="7"/>
        <v/>
      </c>
      <c r="BS15" s="40" t="str">
        <f t="shared" si="7"/>
        <v/>
      </c>
      <c r="BT15" s="113">
        <f t="shared" si="8"/>
        <v>159995.67578075896</v>
      </c>
    </row>
    <row r="16" spans="1:73" ht="13.5" customHeight="1">
      <c r="A16" s="624">
        <v>64</v>
      </c>
      <c r="B16" s="625" t="str">
        <f>INDEX('T-Transportation'!$C$6:$C$44,MATCH(Table195781011121314236172728151617187202128[[#This Row],[a]],'T-Transportation'!$B$6:$B$44,0))</f>
        <v>Intersection Improvements - 32 Street and HWY 7</v>
      </c>
      <c r="C16" s="120">
        <f>INDEX('T-Transportation'!$G$6:$G$17,MATCH(Table195781011121314236172728151617187202128[[#This Row],[a]],'T-Transportation'!$B$6:$B$17,0))</f>
        <v>2028</v>
      </c>
      <c r="D16" s="121">
        <f>INDEX('T-Transportation'!$H$6:$H$17,MATCH(Table195781011121314236172728151617187202128[[#This Row],[a]],'T-Transportation'!$B$6:$B$17,0))</f>
        <v>2030</v>
      </c>
      <c r="E16" s="122">
        <f t="shared" ref="E16:E18" si="11">(D16-C16)+1</f>
        <v>3</v>
      </c>
      <c r="F16" s="619">
        <f>INDEX('T-Transportation'!$L$6:$L$17,MATCH(Table195781011121314236172728151617187202128[[#This Row],[a]],'T-Transportation'!$B$6:$B$17,0))</f>
        <v>1518153.1249999995</v>
      </c>
      <c r="G16" s="123"/>
      <c r="H16" s="124">
        <f>+Table195781011121314236172728151617187202128[[#This Row],[f]]-Table195781011121314236172728151617187202128[[#This Row],[g]]</f>
        <v>1518153.1249999995</v>
      </c>
      <c r="I16" s="216">
        <f>INDEX('T-Transportation'!$I$6:$I$17,MATCH(Table195781011121314236172728151617187202128[[#This Row],[a]],'T-Transportation'!$B$6:$B$17,0))</f>
        <v>0.503</v>
      </c>
      <c r="J16" s="125">
        <f>1-Table195781011121314236172728151617187202128[[#This Row],[i]]</f>
        <v>0.497</v>
      </c>
      <c r="K16" s="126">
        <f>(Table195781011121314236172728151617187202128[[#This Row],[h]]*Table195781011121314236172728151617187202128[[#This Row],[i]])</f>
        <v>763631.02187499974</v>
      </c>
      <c r="L16" s="40" t="str">
        <f t="shared" si="4"/>
        <v/>
      </c>
      <c r="M16" s="40" t="str">
        <f t="shared" si="4"/>
        <v/>
      </c>
      <c r="N16" s="40">
        <f t="shared" si="4"/>
        <v>267429.94745247386</v>
      </c>
      <c r="O16" s="40">
        <f t="shared" si="4"/>
        <v>274115.69613878569</v>
      </c>
      <c r="P16" s="40">
        <f t="shared" si="4"/>
        <v>280968.58854225528</v>
      </c>
      <c r="Q16" s="40" t="str">
        <f t="shared" si="4"/>
        <v/>
      </c>
      <c r="R16" s="40" t="str">
        <f t="shared" si="4"/>
        <v/>
      </c>
      <c r="S16" s="40" t="str">
        <f t="shared" si="4"/>
        <v/>
      </c>
      <c r="T16" s="40" t="str">
        <f t="shared" si="4"/>
        <v/>
      </c>
      <c r="U16" s="40" t="str">
        <f t="shared" si="4"/>
        <v/>
      </c>
      <c r="V16" s="40" t="str">
        <f t="shared" si="4"/>
        <v/>
      </c>
      <c r="W16" s="40" t="str">
        <f t="shared" si="4"/>
        <v/>
      </c>
      <c r="X16" s="40" t="str">
        <f t="shared" si="4"/>
        <v/>
      </c>
      <c r="Y16" s="40" t="str">
        <f t="shared" si="4"/>
        <v/>
      </c>
      <c r="Z16" s="40" t="str">
        <f t="shared" si="4"/>
        <v/>
      </c>
      <c r="AA16" s="40" t="str">
        <f t="shared" si="4"/>
        <v/>
      </c>
      <c r="AB16" s="40" t="str">
        <f t="shared" si="5"/>
        <v/>
      </c>
      <c r="AC16" s="40" t="str">
        <f t="shared" si="5"/>
        <v/>
      </c>
      <c r="AD16" s="40" t="str">
        <f t="shared" si="5"/>
        <v/>
      </c>
      <c r="AE16" s="40" t="str">
        <f t="shared" si="5"/>
        <v/>
      </c>
      <c r="AF16" s="40" t="str">
        <f t="shared" si="5"/>
        <v/>
      </c>
      <c r="AG16" s="40" t="str">
        <f t="shared" si="5"/>
        <v/>
      </c>
      <c r="AH16" s="40" t="str">
        <f t="shared" si="5"/>
        <v/>
      </c>
      <c r="AI16" s="40" t="str">
        <f t="shared" si="5"/>
        <v/>
      </c>
      <c r="AJ16" s="40" t="str">
        <f t="shared" si="5"/>
        <v/>
      </c>
      <c r="AK16" s="40" t="str">
        <f t="shared" si="5"/>
        <v/>
      </c>
      <c r="AL16" s="40" t="str">
        <f t="shared" si="5"/>
        <v/>
      </c>
      <c r="AM16" s="40" t="str">
        <f t="shared" si="5"/>
        <v/>
      </c>
      <c r="AN16" s="40" t="str">
        <f t="shared" si="5"/>
        <v/>
      </c>
      <c r="AO16" s="40" t="str">
        <f t="shared" si="5"/>
        <v/>
      </c>
      <c r="AP16" s="40" t="str">
        <f t="shared" si="5"/>
        <v/>
      </c>
      <c r="AQ16" s="40" t="str">
        <f t="shared" si="5"/>
        <v/>
      </c>
      <c r="AR16" s="40" t="str">
        <f t="shared" si="6"/>
        <v/>
      </c>
      <c r="AS16" s="40" t="str">
        <f t="shared" si="6"/>
        <v/>
      </c>
      <c r="AT16" s="40" t="str">
        <f t="shared" si="6"/>
        <v/>
      </c>
      <c r="AU16" s="40" t="str">
        <f t="shared" si="6"/>
        <v/>
      </c>
      <c r="AV16" s="40" t="str">
        <f t="shared" si="6"/>
        <v/>
      </c>
      <c r="AW16" s="40" t="str">
        <f t="shared" si="6"/>
        <v/>
      </c>
      <c r="AX16" s="40" t="str">
        <f t="shared" si="6"/>
        <v/>
      </c>
      <c r="AY16" s="40" t="str">
        <f t="shared" si="6"/>
        <v/>
      </c>
      <c r="AZ16" s="40" t="str">
        <f t="shared" si="6"/>
        <v/>
      </c>
      <c r="BA16" s="40" t="str">
        <f t="shared" si="6"/>
        <v/>
      </c>
      <c r="BB16" s="40" t="str">
        <f t="shared" si="6"/>
        <v/>
      </c>
      <c r="BC16" s="40" t="str">
        <f t="shared" si="6"/>
        <v/>
      </c>
      <c r="BD16" s="40" t="str">
        <f t="shared" si="6"/>
        <v/>
      </c>
      <c r="BE16" s="40" t="str">
        <f t="shared" si="6"/>
        <v/>
      </c>
      <c r="BF16" s="40" t="str">
        <f t="shared" si="6"/>
        <v/>
      </c>
      <c r="BG16" s="40" t="str">
        <f t="shared" si="6"/>
        <v/>
      </c>
      <c r="BH16" s="40" t="str">
        <f t="shared" si="7"/>
        <v/>
      </c>
      <c r="BI16" s="40" t="str">
        <f t="shared" si="7"/>
        <v/>
      </c>
      <c r="BJ16" s="40" t="str">
        <f t="shared" si="7"/>
        <v/>
      </c>
      <c r="BK16" s="40" t="str">
        <f t="shared" si="7"/>
        <v/>
      </c>
      <c r="BL16" s="40" t="str">
        <f t="shared" si="7"/>
        <v/>
      </c>
      <c r="BM16" s="40" t="str">
        <f t="shared" si="7"/>
        <v/>
      </c>
      <c r="BN16" s="40" t="str">
        <f t="shared" si="7"/>
        <v/>
      </c>
      <c r="BO16" s="40" t="str">
        <f t="shared" si="7"/>
        <v/>
      </c>
      <c r="BP16" s="40" t="str">
        <f t="shared" si="7"/>
        <v/>
      </c>
      <c r="BQ16" s="40" t="str">
        <f t="shared" si="7"/>
        <v/>
      </c>
      <c r="BR16" s="40" t="str">
        <f t="shared" si="7"/>
        <v/>
      </c>
      <c r="BS16" s="40" t="str">
        <f t="shared" si="7"/>
        <v/>
      </c>
      <c r="BT16" s="113">
        <f t="shared" si="8"/>
        <v>822514.23213351495</v>
      </c>
    </row>
    <row r="17" spans="1:72" ht="13.5" customHeight="1">
      <c r="A17" s="624">
        <v>67</v>
      </c>
      <c r="B17" s="625" t="str">
        <f>INDEX('T-Transportation'!$C$6:$C$44,MATCH(Table195781011121314236172728151617187202128[[#This Row],[a]],'T-Transportation'!$B$6:$B$44,0))</f>
        <v>Twinning 32 Street from Southbank Road to North Railway Street</v>
      </c>
      <c r="C17" s="120">
        <f>INDEX('T-Transportation'!$G$6:$G$17,MATCH(Table195781011121314236172728151617187202128[[#This Row],[a]],'T-Transportation'!$B$6:$B$17,0))</f>
        <v>2036</v>
      </c>
      <c r="D17" s="121">
        <f>INDEX('T-Transportation'!$H$6:$H$17,MATCH(Table195781011121314236172728151617187202128[[#This Row],[a]],'T-Transportation'!$B$6:$B$17,0))</f>
        <v>2045</v>
      </c>
      <c r="E17" s="122">
        <f t="shared" si="11"/>
        <v>10</v>
      </c>
      <c r="F17" s="619">
        <f>INDEX('T-Transportation'!$L$6:$L$17,MATCH(Table195781011121314236172728151617187202128[[#This Row],[a]],'T-Transportation'!$B$6:$B$17,0))</f>
        <v>22560070.624999993</v>
      </c>
      <c r="G17" s="123"/>
      <c r="H17" s="124">
        <f>+Table195781011121314236172728151617187202128[[#This Row],[f]]-Table195781011121314236172728151617187202128[[#This Row],[g]]</f>
        <v>22560070.624999993</v>
      </c>
      <c r="I17" s="216">
        <f>INDEX('T-Transportation'!$I$6:$I$17,MATCH(Table195781011121314236172728151617187202128[[#This Row],[a]],'T-Transportation'!$B$6:$B$17,0))</f>
        <v>0.503</v>
      </c>
      <c r="J17" s="125">
        <f>1-Table195781011121314236172728151617187202128[[#This Row],[i]]</f>
        <v>0.497</v>
      </c>
      <c r="K17" s="126">
        <f>(Table195781011121314236172728151617187202128[[#This Row],[h]]*Table195781011121314236172728151617187202128[[#This Row],[i]])</f>
        <v>11347715.524374997</v>
      </c>
      <c r="L17" s="40" t="str">
        <f t="shared" si="4"/>
        <v/>
      </c>
      <c r="M17" s="40" t="str">
        <f t="shared" si="4"/>
        <v/>
      </c>
      <c r="N17" s="40" t="str">
        <f t="shared" si="4"/>
        <v/>
      </c>
      <c r="O17" s="40" t="str">
        <f t="shared" si="4"/>
        <v/>
      </c>
      <c r="P17" s="40" t="str">
        <f t="shared" si="4"/>
        <v/>
      </c>
      <c r="Q17" s="40" t="str">
        <f t="shared" si="4"/>
        <v/>
      </c>
      <c r="R17" s="40" t="str">
        <f t="shared" si="4"/>
        <v/>
      </c>
      <c r="S17" s="40" t="str">
        <f t="shared" si="4"/>
        <v/>
      </c>
      <c r="T17" s="40" t="str">
        <f t="shared" si="4"/>
        <v/>
      </c>
      <c r="U17" s="40" t="str">
        <f t="shared" si="4"/>
        <v/>
      </c>
      <c r="V17" s="40">
        <f t="shared" si="4"/>
        <v>1452603.5254689488</v>
      </c>
      <c r="W17" s="40">
        <f t="shared" si="4"/>
        <v>1488918.6136056725</v>
      </c>
      <c r="X17" s="40">
        <f t="shared" si="4"/>
        <v>1526141.5789458142</v>
      </c>
      <c r="Y17" s="40">
        <f t="shared" si="4"/>
        <v>1564295.1184194593</v>
      </c>
      <c r="Z17" s="40">
        <f t="shared" si="4"/>
        <v>1603402.4963799457</v>
      </c>
      <c r="AA17" s="40">
        <f t="shared" si="4"/>
        <v>1643487.5587894442</v>
      </c>
      <c r="AB17" s="40">
        <f t="shared" si="5"/>
        <v>1684574.7477591801</v>
      </c>
      <c r="AC17" s="40">
        <f t="shared" si="5"/>
        <v>1726689.1164531594</v>
      </c>
      <c r="AD17" s="40">
        <f t="shared" si="5"/>
        <v>1769856.3443644883</v>
      </c>
      <c r="AE17" s="40">
        <f t="shared" si="5"/>
        <v>1814102.7529736003</v>
      </c>
      <c r="AF17" s="40" t="str">
        <f t="shared" si="5"/>
        <v/>
      </c>
      <c r="AG17" s="40" t="str">
        <f t="shared" si="5"/>
        <v/>
      </c>
      <c r="AH17" s="40" t="str">
        <f t="shared" si="5"/>
        <v/>
      </c>
      <c r="AI17" s="40" t="str">
        <f t="shared" si="5"/>
        <v/>
      </c>
      <c r="AJ17" s="40" t="str">
        <f t="shared" si="5"/>
        <v/>
      </c>
      <c r="AK17" s="40" t="str">
        <f t="shared" si="5"/>
        <v/>
      </c>
      <c r="AL17" s="40" t="str">
        <f t="shared" si="5"/>
        <v/>
      </c>
      <c r="AM17" s="40" t="str">
        <f t="shared" si="5"/>
        <v/>
      </c>
      <c r="AN17" s="40" t="str">
        <f t="shared" si="5"/>
        <v/>
      </c>
      <c r="AO17" s="40" t="str">
        <f t="shared" si="5"/>
        <v/>
      </c>
      <c r="AP17" s="40" t="str">
        <f t="shared" si="5"/>
        <v/>
      </c>
      <c r="AQ17" s="40" t="str">
        <f t="shared" si="5"/>
        <v/>
      </c>
      <c r="AR17" s="40" t="str">
        <f t="shared" si="6"/>
        <v/>
      </c>
      <c r="AS17" s="40" t="str">
        <f t="shared" si="6"/>
        <v/>
      </c>
      <c r="AT17" s="40" t="str">
        <f t="shared" si="6"/>
        <v/>
      </c>
      <c r="AU17" s="40" t="str">
        <f t="shared" si="6"/>
        <v/>
      </c>
      <c r="AV17" s="40" t="str">
        <f t="shared" si="6"/>
        <v/>
      </c>
      <c r="AW17" s="40" t="str">
        <f t="shared" si="6"/>
        <v/>
      </c>
      <c r="AX17" s="40" t="str">
        <f t="shared" si="6"/>
        <v/>
      </c>
      <c r="AY17" s="40" t="str">
        <f t="shared" si="6"/>
        <v/>
      </c>
      <c r="AZ17" s="40" t="str">
        <f t="shared" si="6"/>
        <v/>
      </c>
      <c r="BA17" s="40" t="str">
        <f t="shared" si="6"/>
        <v/>
      </c>
      <c r="BB17" s="40" t="str">
        <f t="shared" si="6"/>
        <v/>
      </c>
      <c r="BC17" s="40" t="str">
        <f t="shared" si="6"/>
        <v/>
      </c>
      <c r="BD17" s="40" t="str">
        <f t="shared" si="6"/>
        <v/>
      </c>
      <c r="BE17" s="40" t="str">
        <f t="shared" si="6"/>
        <v/>
      </c>
      <c r="BF17" s="40" t="str">
        <f t="shared" si="6"/>
        <v/>
      </c>
      <c r="BG17" s="40" t="str">
        <f t="shared" si="6"/>
        <v/>
      </c>
      <c r="BH17" s="40" t="str">
        <f t="shared" si="7"/>
        <v/>
      </c>
      <c r="BI17" s="40" t="str">
        <f t="shared" si="7"/>
        <v/>
      </c>
      <c r="BJ17" s="40" t="str">
        <f t="shared" si="7"/>
        <v/>
      </c>
      <c r="BK17" s="40" t="str">
        <f t="shared" si="7"/>
        <v/>
      </c>
      <c r="BL17" s="40" t="str">
        <f t="shared" si="7"/>
        <v/>
      </c>
      <c r="BM17" s="40" t="str">
        <f t="shared" si="7"/>
        <v/>
      </c>
      <c r="BN17" s="40" t="str">
        <f t="shared" si="7"/>
        <v/>
      </c>
      <c r="BO17" s="40" t="str">
        <f t="shared" si="7"/>
        <v/>
      </c>
      <c r="BP17" s="40" t="str">
        <f t="shared" si="7"/>
        <v/>
      </c>
      <c r="BQ17" s="40" t="str">
        <f t="shared" si="7"/>
        <v/>
      </c>
      <c r="BR17" s="40" t="str">
        <f t="shared" si="7"/>
        <v/>
      </c>
      <c r="BS17" s="40" t="str">
        <f t="shared" si="7"/>
        <v/>
      </c>
      <c r="BT17" s="113">
        <f t="shared" si="8"/>
        <v>16274071.853159714</v>
      </c>
    </row>
    <row r="18" spans="1:72" ht="13.5" customHeight="1">
      <c r="A18" s="624">
        <v>71</v>
      </c>
      <c r="B18" s="625" t="str">
        <f>INDEX('T-Transportation'!$C$6:$C$44,MATCH(Table195781011121314236172728151617187202128[[#This Row],[a]],'T-Transportation'!$B$6:$B$44,0))</f>
        <v>Milligan Drive and 32 Street</v>
      </c>
      <c r="C18" s="120">
        <f>INDEX('T-Transportation'!$G$6:$G$17,MATCH(Table195781011121314236172728151617187202128[[#This Row],[a]],'T-Transportation'!$B$6:$B$17,0))</f>
        <v>2027</v>
      </c>
      <c r="D18" s="121">
        <f>INDEX('T-Transportation'!$H$6:$H$17,MATCH(Table195781011121314236172728151617187202128[[#This Row],[a]],'T-Transportation'!$B$6:$B$17,0))</f>
        <v>2028</v>
      </c>
      <c r="E18" s="122">
        <f t="shared" si="11"/>
        <v>2</v>
      </c>
      <c r="F18" s="619">
        <f>INDEX('T-Transportation'!$L$6:$L$17,MATCH(Table195781011121314236172728151617187202128[[#This Row],[a]],'T-Transportation'!$B$6:$B$17,0))</f>
        <v>200669.37499999994</v>
      </c>
      <c r="G18" s="123"/>
      <c r="H18" s="124">
        <f>+Table195781011121314236172728151617187202128[[#This Row],[f]]-Table195781011121314236172728151617187202128[[#This Row],[g]]</f>
        <v>200669.37499999994</v>
      </c>
      <c r="I18" s="216">
        <f>INDEX('T-Transportation'!$I$6:$I$17,MATCH(Table195781011121314236172728151617187202128[[#This Row],[a]],'T-Transportation'!$B$6:$B$17,0))</f>
        <v>0.503</v>
      </c>
      <c r="J18" s="125">
        <f>1-Table195781011121314236172728151617187202128[[#This Row],[i]]</f>
        <v>0.497</v>
      </c>
      <c r="K18" s="126">
        <f>(Table195781011121314236172728151617187202128[[#This Row],[h]]*Table195781011121314236172728151617187202128[[#This Row],[i]])</f>
        <v>100936.69562499998</v>
      </c>
      <c r="L18" s="40" t="str">
        <f t="shared" si="4"/>
        <v/>
      </c>
      <c r="M18" s="40">
        <f t="shared" si="4"/>
        <v>51730.056507812486</v>
      </c>
      <c r="N18" s="40">
        <f t="shared" si="4"/>
        <v>53023.307920507796</v>
      </c>
      <c r="O18" s="40" t="str">
        <f t="shared" si="4"/>
        <v/>
      </c>
      <c r="P18" s="40" t="str">
        <f t="shared" si="4"/>
        <v/>
      </c>
      <c r="Q18" s="40" t="str">
        <f t="shared" si="4"/>
        <v/>
      </c>
      <c r="R18" s="40" t="str">
        <f t="shared" si="4"/>
        <v/>
      </c>
      <c r="S18" s="40" t="str">
        <f t="shared" si="4"/>
        <v/>
      </c>
      <c r="T18" s="40" t="str">
        <f t="shared" si="4"/>
        <v/>
      </c>
      <c r="U18" s="40" t="str">
        <f t="shared" si="4"/>
        <v/>
      </c>
      <c r="V18" s="40" t="str">
        <f t="shared" si="4"/>
        <v/>
      </c>
      <c r="W18" s="40" t="str">
        <f t="shared" si="4"/>
        <v/>
      </c>
      <c r="X18" s="40" t="str">
        <f t="shared" si="4"/>
        <v/>
      </c>
      <c r="Y18" s="40" t="str">
        <f t="shared" si="4"/>
        <v/>
      </c>
      <c r="Z18" s="40" t="str">
        <f t="shared" si="4"/>
        <v/>
      </c>
      <c r="AA18" s="40" t="str">
        <f t="shared" si="4"/>
        <v/>
      </c>
      <c r="AB18" s="40" t="str">
        <f t="shared" si="5"/>
        <v/>
      </c>
      <c r="AC18" s="40" t="str">
        <f t="shared" si="5"/>
        <v/>
      </c>
      <c r="AD18" s="40" t="str">
        <f t="shared" si="5"/>
        <v/>
      </c>
      <c r="AE18" s="40" t="str">
        <f t="shared" si="5"/>
        <v/>
      </c>
      <c r="AF18" s="40" t="str">
        <f t="shared" si="5"/>
        <v/>
      </c>
      <c r="AG18" s="40" t="str">
        <f t="shared" si="5"/>
        <v/>
      </c>
      <c r="AH18" s="40" t="str">
        <f t="shared" si="5"/>
        <v/>
      </c>
      <c r="AI18" s="40" t="str">
        <f t="shared" si="5"/>
        <v/>
      </c>
      <c r="AJ18" s="40" t="str">
        <f t="shared" si="5"/>
        <v/>
      </c>
      <c r="AK18" s="40" t="str">
        <f t="shared" si="5"/>
        <v/>
      </c>
      <c r="AL18" s="40" t="str">
        <f t="shared" si="5"/>
        <v/>
      </c>
      <c r="AM18" s="40" t="str">
        <f t="shared" si="5"/>
        <v/>
      </c>
      <c r="AN18" s="40" t="str">
        <f t="shared" si="5"/>
        <v/>
      </c>
      <c r="AO18" s="40" t="str">
        <f t="shared" si="5"/>
        <v/>
      </c>
      <c r="AP18" s="40" t="str">
        <f t="shared" si="5"/>
        <v/>
      </c>
      <c r="AQ18" s="40" t="str">
        <f t="shared" si="5"/>
        <v/>
      </c>
      <c r="AR18" s="40" t="str">
        <f t="shared" si="6"/>
        <v/>
      </c>
      <c r="AS18" s="40" t="str">
        <f t="shared" si="6"/>
        <v/>
      </c>
      <c r="AT18" s="40" t="str">
        <f t="shared" si="6"/>
        <v/>
      </c>
      <c r="AU18" s="40" t="str">
        <f t="shared" si="6"/>
        <v/>
      </c>
      <c r="AV18" s="40" t="str">
        <f t="shared" si="6"/>
        <v/>
      </c>
      <c r="AW18" s="40" t="str">
        <f t="shared" si="6"/>
        <v/>
      </c>
      <c r="AX18" s="40" t="str">
        <f t="shared" si="6"/>
        <v/>
      </c>
      <c r="AY18" s="40" t="str">
        <f t="shared" si="6"/>
        <v/>
      </c>
      <c r="AZ18" s="40" t="str">
        <f t="shared" si="6"/>
        <v/>
      </c>
      <c r="BA18" s="40" t="str">
        <f t="shared" si="6"/>
        <v/>
      </c>
      <c r="BB18" s="40" t="str">
        <f t="shared" si="6"/>
        <v/>
      </c>
      <c r="BC18" s="40" t="str">
        <f t="shared" si="6"/>
        <v/>
      </c>
      <c r="BD18" s="40" t="str">
        <f t="shared" si="6"/>
        <v/>
      </c>
      <c r="BE18" s="40" t="str">
        <f t="shared" si="6"/>
        <v/>
      </c>
      <c r="BF18" s="40" t="str">
        <f t="shared" si="6"/>
        <v/>
      </c>
      <c r="BG18" s="40" t="str">
        <f t="shared" si="6"/>
        <v/>
      </c>
      <c r="BH18" s="40" t="str">
        <f t="shared" si="7"/>
        <v/>
      </c>
      <c r="BI18" s="40" t="str">
        <f t="shared" si="7"/>
        <v/>
      </c>
      <c r="BJ18" s="40" t="str">
        <f t="shared" si="7"/>
        <v/>
      </c>
      <c r="BK18" s="40" t="str">
        <f t="shared" si="7"/>
        <v/>
      </c>
      <c r="BL18" s="40" t="str">
        <f t="shared" si="7"/>
        <v/>
      </c>
      <c r="BM18" s="40" t="str">
        <f t="shared" si="7"/>
        <v/>
      </c>
      <c r="BN18" s="40" t="str">
        <f t="shared" si="7"/>
        <v/>
      </c>
      <c r="BO18" s="40" t="str">
        <f t="shared" si="7"/>
        <v/>
      </c>
      <c r="BP18" s="40" t="str">
        <f t="shared" si="7"/>
        <v/>
      </c>
      <c r="BQ18" s="40" t="str">
        <f t="shared" si="7"/>
        <v/>
      </c>
      <c r="BR18" s="40" t="str">
        <f t="shared" si="7"/>
        <v/>
      </c>
      <c r="BS18" s="40" t="str">
        <f t="shared" si="7"/>
        <v/>
      </c>
      <c r="BT18" s="113">
        <f>SUM(L18:BS18)</f>
        <v>104753.36442832029</v>
      </c>
    </row>
    <row r="19" spans="1:72" ht="13.5" customHeight="1">
      <c r="A19" s="624">
        <v>72</v>
      </c>
      <c r="B19" s="625" t="str">
        <f>INDEX('T-Transportation'!$C$6:$C$44,MATCH(Table195781011121314236172728151617187202128[[#This Row],[a]],'T-Transportation'!$B$6:$B$44,0))</f>
        <v>North Railway Street/32 Street</v>
      </c>
      <c r="C19" s="139">
        <f>INDEX('T-Transportation'!$G$6:$G$17,MATCH(Table195781011121314236172728151617187202128[[#This Row],[a]],'T-Transportation'!$B$6:$B$17,0))</f>
        <v>2040</v>
      </c>
      <c r="D19" s="184">
        <f>INDEX('T-Transportation'!$H$6:$H$17,MATCH(Table195781011121314236172728151617187202128[[#This Row],[a]],'T-Transportation'!$B$6:$B$17,0))</f>
        <v>2041</v>
      </c>
      <c r="E19" s="189">
        <f>(D19-C19)+1</f>
        <v>2</v>
      </c>
      <c r="F19" s="620">
        <f>INDEX('T-Transportation'!$L$6:$L$17,MATCH(Table195781011121314236172728151617187202128[[#This Row],[a]],'T-Transportation'!$B$6:$B$17,0))</f>
        <v>534768.12499999988</v>
      </c>
      <c r="G19" s="140"/>
      <c r="H19" s="190">
        <f>+Table195781011121314236172728151617187202128[[#This Row],[f]]-Table195781011121314236172728151617187202128[[#This Row],[g]]</f>
        <v>534768.12499999988</v>
      </c>
      <c r="I19" s="217">
        <f>INDEX('T-Transportation'!$I$6:$I$17,MATCH(Table195781011121314236172728151617187202128[[#This Row],[a]],'T-Transportation'!$B$6:$B$17,0))</f>
        <v>0.503</v>
      </c>
      <c r="J19" s="187">
        <f>1-Table195781011121314236172728151617187202128[[#This Row],[i]]</f>
        <v>0.497</v>
      </c>
      <c r="K19" s="191">
        <f>(Table195781011121314236172728151617187202128[[#This Row],[h]]*Table195781011121314236172728151617187202128[[#This Row],[i]])</f>
        <v>268988.36687499995</v>
      </c>
      <c r="L19" s="40" t="str">
        <f t="shared" si="4"/>
        <v/>
      </c>
      <c r="M19" s="40" t="str">
        <f t="shared" si="4"/>
        <v/>
      </c>
      <c r="N19" s="40" t="str">
        <f t="shared" si="4"/>
        <v/>
      </c>
      <c r="O19" s="40" t="str">
        <f t="shared" si="4"/>
        <v/>
      </c>
      <c r="P19" s="40" t="str">
        <f t="shared" si="4"/>
        <v/>
      </c>
      <c r="Q19" s="40" t="str">
        <f t="shared" si="4"/>
        <v/>
      </c>
      <c r="R19" s="40" t="str">
        <f t="shared" si="4"/>
        <v/>
      </c>
      <c r="S19" s="40" t="str">
        <f t="shared" si="4"/>
        <v/>
      </c>
      <c r="T19" s="40" t="str">
        <f t="shared" si="4"/>
        <v/>
      </c>
      <c r="U19" s="40" t="str">
        <f t="shared" si="4"/>
        <v/>
      </c>
      <c r="V19" s="40" t="str">
        <f t="shared" si="4"/>
        <v/>
      </c>
      <c r="W19" s="40" t="str">
        <f t="shared" si="4"/>
        <v/>
      </c>
      <c r="X19" s="40" t="str">
        <f t="shared" si="4"/>
        <v/>
      </c>
      <c r="Y19" s="40" t="str">
        <f t="shared" si="4"/>
        <v/>
      </c>
      <c r="Z19" s="40">
        <f t="shared" si="4"/>
        <v>190036.76027043088</v>
      </c>
      <c r="AA19" s="40">
        <f t="shared" si="4"/>
        <v>194787.67927719164</v>
      </c>
      <c r="AB19" s="40" t="str">
        <f t="shared" si="5"/>
        <v/>
      </c>
      <c r="AC19" s="40" t="str">
        <f t="shared" si="5"/>
        <v/>
      </c>
      <c r="AD19" s="40" t="str">
        <f t="shared" si="5"/>
        <v/>
      </c>
      <c r="AE19" s="40" t="str">
        <f t="shared" si="5"/>
        <v/>
      </c>
      <c r="AF19" s="40" t="str">
        <f t="shared" si="5"/>
        <v/>
      </c>
      <c r="AG19" s="40" t="str">
        <f t="shared" si="5"/>
        <v/>
      </c>
      <c r="AH19" s="40" t="str">
        <f t="shared" si="5"/>
        <v/>
      </c>
      <c r="AI19" s="40" t="str">
        <f t="shared" si="5"/>
        <v/>
      </c>
      <c r="AJ19" s="40" t="str">
        <f t="shared" si="5"/>
        <v/>
      </c>
      <c r="AK19" s="40" t="str">
        <f t="shared" si="5"/>
        <v/>
      </c>
      <c r="AL19" s="40" t="str">
        <f t="shared" si="5"/>
        <v/>
      </c>
      <c r="AM19" s="40" t="str">
        <f t="shared" si="5"/>
        <v/>
      </c>
      <c r="AN19" s="40" t="str">
        <f t="shared" si="5"/>
        <v/>
      </c>
      <c r="AO19" s="40" t="str">
        <f t="shared" si="5"/>
        <v/>
      </c>
      <c r="AP19" s="40" t="str">
        <f t="shared" si="5"/>
        <v/>
      </c>
      <c r="AQ19" s="40" t="str">
        <f t="shared" si="5"/>
        <v/>
      </c>
      <c r="AR19" s="40" t="str">
        <f t="shared" si="6"/>
        <v/>
      </c>
      <c r="AS19" s="40" t="str">
        <f t="shared" si="6"/>
        <v/>
      </c>
      <c r="AT19" s="40" t="str">
        <f t="shared" si="6"/>
        <v/>
      </c>
      <c r="AU19" s="40" t="str">
        <f t="shared" si="6"/>
        <v/>
      </c>
      <c r="AV19" s="40" t="str">
        <f t="shared" si="6"/>
        <v/>
      </c>
      <c r="AW19" s="40" t="str">
        <f t="shared" si="6"/>
        <v/>
      </c>
      <c r="AX19" s="40" t="str">
        <f t="shared" si="6"/>
        <v/>
      </c>
      <c r="AY19" s="40" t="str">
        <f t="shared" si="6"/>
        <v/>
      </c>
      <c r="AZ19" s="40" t="str">
        <f t="shared" si="6"/>
        <v/>
      </c>
      <c r="BA19" s="40" t="str">
        <f t="shared" si="6"/>
        <v/>
      </c>
      <c r="BB19" s="40" t="str">
        <f t="shared" si="6"/>
        <v/>
      </c>
      <c r="BC19" s="40" t="str">
        <f t="shared" si="6"/>
        <v/>
      </c>
      <c r="BD19" s="40" t="str">
        <f t="shared" si="6"/>
        <v/>
      </c>
      <c r="BE19" s="40" t="str">
        <f t="shared" si="6"/>
        <v/>
      </c>
      <c r="BF19" s="40" t="str">
        <f t="shared" si="6"/>
        <v/>
      </c>
      <c r="BG19" s="40" t="str">
        <f t="shared" si="6"/>
        <v/>
      </c>
      <c r="BH19" s="40" t="str">
        <f t="shared" si="7"/>
        <v/>
      </c>
      <c r="BI19" s="40" t="str">
        <f t="shared" si="7"/>
        <v/>
      </c>
      <c r="BJ19" s="40" t="str">
        <f t="shared" si="7"/>
        <v/>
      </c>
      <c r="BK19" s="40" t="str">
        <f t="shared" si="7"/>
        <v/>
      </c>
      <c r="BL19" s="40" t="str">
        <f t="shared" si="7"/>
        <v/>
      </c>
      <c r="BM19" s="40" t="str">
        <f t="shared" si="7"/>
        <v/>
      </c>
      <c r="BN19" s="40" t="str">
        <f t="shared" si="7"/>
        <v/>
      </c>
      <c r="BO19" s="40" t="str">
        <f t="shared" si="7"/>
        <v/>
      </c>
      <c r="BP19" s="40" t="str">
        <f t="shared" si="7"/>
        <v/>
      </c>
      <c r="BQ19" s="40" t="str">
        <f t="shared" si="7"/>
        <v/>
      </c>
      <c r="BR19" s="40" t="str">
        <f t="shared" si="7"/>
        <v/>
      </c>
      <c r="BS19" s="40" t="str">
        <f t="shared" si="7"/>
        <v/>
      </c>
      <c r="BT19" s="113">
        <f t="shared" si="8"/>
        <v>384824.43954762252</v>
      </c>
    </row>
    <row r="20" spans="1:72" ht="13.5" customHeight="1">
      <c r="A20" s="624">
        <v>73</v>
      </c>
      <c r="B20" s="625" t="str">
        <f>INDEX('T-Transportation'!$C$6:$C$44,MATCH(Table195781011121314236172728151617187202128[[#This Row],[a]],'T-Transportation'!$B$6:$B$44,0))</f>
        <v>Southbank Road and 32 Street</v>
      </c>
      <c r="C20" s="139">
        <f>INDEX('T-Transportation'!$G$6:$G$17,MATCH(Table195781011121314236172728151617187202128[[#This Row],[a]],'T-Transportation'!$B$6:$B$17,0))</f>
        <v>2040</v>
      </c>
      <c r="D20" s="184">
        <f>INDEX('T-Transportation'!$H$6:$H$17,MATCH(Table195781011121314236172728151617187202128[[#This Row],[a]],'T-Transportation'!$B$6:$B$17,0))</f>
        <v>2041</v>
      </c>
      <c r="E20" s="189">
        <f>(D20-C20)+1</f>
        <v>2</v>
      </c>
      <c r="F20" s="620">
        <f>INDEX('T-Transportation'!$L$6:$L$17,MATCH(Table195781011121314236172728151617187202128[[#This Row],[a]],'T-Transportation'!$B$6:$B$17,0))</f>
        <v>410794.37499999988</v>
      </c>
      <c r="G20" s="140"/>
      <c r="H20" s="190">
        <f>+Table195781011121314236172728151617187202128[[#This Row],[f]]-Table195781011121314236172728151617187202128[[#This Row],[g]]</f>
        <v>410794.37499999988</v>
      </c>
      <c r="I20" s="217">
        <f>INDEX('T-Transportation'!$I$6:$I$17,MATCH(Table195781011121314236172728151617187202128[[#This Row],[a]],'T-Transportation'!$B$6:$B$17,0))</f>
        <v>0.503</v>
      </c>
      <c r="J20" s="187">
        <f>1-Table195781011121314236172728151617187202128[[#This Row],[i]]</f>
        <v>0.497</v>
      </c>
      <c r="K20" s="191">
        <f>(Table195781011121314236172728151617187202128[[#This Row],[h]]*Table195781011121314236172728151617187202128[[#This Row],[i]])</f>
        <v>206629.57062499993</v>
      </c>
      <c r="L20" s="40" t="str">
        <f t="shared" si="4"/>
        <v/>
      </c>
      <c r="M20" s="40" t="str">
        <f t="shared" si="4"/>
        <v/>
      </c>
      <c r="N20" s="40" t="str">
        <f t="shared" si="4"/>
        <v/>
      </c>
      <c r="O20" s="40" t="str">
        <f t="shared" si="4"/>
        <v/>
      </c>
      <c r="P20" s="40" t="str">
        <f t="shared" si="4"/>
        <v/>
      </c>
      <c r="Q20" s="40" t="str">
        <f t="shared" si="4"/>
        <v/>
      </c>
      <c r="R20" s="40" t="str">
        <f t="shared" si="4"/>
        <v/>
      </c>
      <c r="S20" s="40" t="str">
        <f t="shared" si="4"/>
        <v/>
      </c>
      <c r="T20" s="40" t="str">
        <f t="shared" si="4"/>
        <v/>
      </c>
      <c r="U20" s="40" t="str">
        <f t="shared" si="4"/>
        <v/>
      </c>
      <c r="V20" s="40" t="str">
        <f t="shared" si="4"/>
        <v/>
      </c>
      <c r="W20" s="40" t="str">
        <f t="shared" si="4"/>
        <v/>
      </c>
      <c r="X20" s="40" t="str">
        <f t="shared" si="4"/>
        <v/>
      </c>
      <c r="Y20" s="40" t="str">
        <f t="shared" si="4"/>
        <v/>
      </c>
      <c r="Z20" s="40">
        <f t="shared" si="4"/>
        <v>145981.08696608737</v>
      </c>
      <c r="AA20" s="40">
        <f t="shared" si="4"/>
        <v>149630.61414023952</v>
      </c>
      <c r="AB20" s="40" t="str">
        <f t="shared" si="5"/>
        <v/>
      </c>
      <c r="AC20" s="40" t="str">
        <f t="shared" si="5"/>
        <v/>
      </c>
      <c r="AD20" s="40" t="str">
        <f t="shared" si="5"/>
        <v/>
      </c>
      <c r="AE20" s="40" t="str">
        <f t="shared" si="5"/>
        <v/>
      </c>
      <c r="AF20" s="40" t="str">
        <f t="shared" si="5"/>
        <v/>
      </c>
      <c r="AG20" s="40" t="str">
        <f t="shared" si="5"/>
        <v/>
      </c>
      <c r="AH20" s="40" t="str">
        <f t="shared" si="5"/>
        <v/>
      </c>
      <c r="AI20" s="40" t="str">
        <f t="shared" si="5"/>
        <v/>
      </c>
      <c r="AJ20" s="40" t="str">
        <f t="shared" si="5"/>
        <v/>
      </c>
      <c r="AK20" s="40" t="str">
        <f t="shared" si="5"/>
        <v/>
      </c>
      <c r="AL20" s="40" t="str">
        <f t="shared" si="5"/>
        <v/>
      </c>
      <c r="AM20" s="40" t="str">
        <f t="shared" si="5"/>
        <v/>
      </c>
      <c r="AN20" s="40" t="str">
        <f t="shared" si="5"/>
        <v/>
      </c>
      <c r="AO20" s="40" t="str">
        <f t="shared" si="5"/>
        <v/>
      </c>
      <c r="AP20" s="40" t="str">
        <f t="shared" si="5"/>
        <v/>
      </c>
      <c r="AQ20" s="40" t="str">
        <f t="shared" si="5"/>
        <v/>
      </c>
      <c r="AR20" s="40" t="str">
        <f t="shared" si="6"/>
        <v/>
      </c>
      <c r="AS20" s="40" t="str">
        <f t="shared" si="6"/>
        <v/>
      </c>
      <c r="AT20" s="40" t="str">
        <f t="shared" si="6"/>
        <v/>
      </c>
      <c r="AU20" s="40" t="str">
        <f t="shared" si="6"/>
        <v/>
      </c>
      <c r="AV20" s="40" t="str">
        <f t="shared" si="6"/>
        <v/>
      </c>
      <c r="AW20" s="40" t="str">
        <f t="shared" si="6"/>
        <v/>
      </c>
      <c r="AX20" s="40" t="str">
        <f t="shared" si="6"/>
        <v/>
      </c>
      <c r="AY20" s="40" t="str">
        <f t="shared" si="6"/>
        <v/>
      </c>
      <c r="AZ20" s="40" t="str">
        <f t="shared" si="6"/>
        <v/>
      </c>
      <c r="BA20" s="40" t="str">
        <f t="shared" si="6"/>
        <v/>
      </c>
      <c r="BB20" s="40" t="str">
        <f t="shared" si="6"/>
        <v/>
      </c>
      <c r="BC20" s="40" t="str">
        <f t="shared" si="6"/>
        <v/>
      </c>
      <c r="BD20" s="40" t="str">
        <f t="shared" si="6"/>
        <v/>
      </c>
      <c r="BE20" s="40" t="str">
        <f t="shared" si="6"/>
        <v/>
      </c>
      <c r="BF20" s="40" t="str">
        <f t="shared" si="6"/>
        <v/>
      </c>
      <c r="BG20" s="40" t="str">
        <f t="shared" si="6"/>
        <v/>
      </c>
      <c r="BH20" s="40" t="str">
        <f t="shared" si="7"/>
        <v/>
      </c>
      <c r="BI20" s="40" t="str">
        <f t="shared" si="7"/>
        <v/>
      </c>
      <c r="BJ20" s="40" t="str">
        <f t="shared" si="7"/>
        <v/>
      </c>
      <c r="BK20" s="40" t="str">
        <f t="shared" si="7"/>
        <v/>
      </c>
      <c r="BL20" s="40" t="str">
        <f t="shared" si="7"/>
        <v/>
      </c>
      <c r="BM20" s="40" t="str">
        <f t="shared" si="7"/>
        <v/>
      </c>
      <c r="BN20" s="40" t="str">
        <f t="shared" si="7"/>
        <v/>
      </c>
      <c r="BO20" s="40" t="str">
        <f t="shared" si="7"/>
        <v/>
      </c>
      <c r="BP20" s="40" t="str">
        <f t="shared" si="7"/>
        <v/>
      </c>
      <c r="BQ20" s="40" t="str">
        <f t="shared" si="7"/>
        <v/>
      </c>
      <c r="BR20" s="40" t="str">
        <f t="shared" si="7"/>
        <v/>
      </c>
      <c r="BS20" s="40" t="str">
        <f t="shared" si="7"/>
        <v/>
      </c>
      <c r="BT20" s="113">
        <f t="shared" si="8"/>
        <v>295611.70110632689</v>
      </c>
    </row>
    <row r="21" spans="1:72" ht="13.5" customHeight="1">
      <c r="A21" s="624">
        <v>81</v>
      </c>
      <c r="B21" s="625" t="str">
        <f>INDEX('T-Transportation'!$C$6:$C$44,MATCH(Table195781011121314236172728151617187202128[[#This Row],[a]],'T-Transportation'!$B$6:$B$44,0))</f>
        <v>Northridge Drive and Northgate Circle Storm Contribution</v>
      </c>
      <c r="C21" s="118">
        <f>INDEX('T-Transportation'!$G$6:$G$17,MATCH(Table195781011121314236172728151617187202128[[#This Row],[a]],'T-Transportation'!$B$6:$B$17,0))</f>
        <v>2027</v>
      </c>
      <c r="D21" s="118">
        <f>INDEX('T-Transportation'!$H$6:$H$17,MATCH(Table195781011121314236172728151617187202128[[#This Row],[a]],'T-Transportation'!$B$6:$B$17,0))</f>
        <v>2027</v>
      </c>
      <c r="E21" s="119">
        <f>(D21-C21)+1</f>
        <v>1</v>
      </c>
      <c r="F21" s="621">
        <f>INDEX('T-Transportation'!$L$6:$L$17,MATCH(Table195781011121314236172728151617187202128[[#This Row],[a]],'T-Transportation'!$B$6:$B$17,0))</f>
        <v>687056.21874999988</v>
      </c>
      <c r="G21" s="96"/>
      <c r="H21" s="98">
        <f>+Table195781011121314236172728151617187202128[[#This Row],[f]]-Table195781011121314236172728151617187202128[[#This Row],[g]]</f>
        <v>687056.21874999988</v>
      </c>
      <c r="I21" s="218">
        <f>INDEX('T-Transportation'!$I$6:$I$17,MATCH(Table195781011121314236172728151617187202128[[#This Row],[a]],'T-Transportation'!$B$6:$B$17,0))</f>
        <v>0.75</v>
      </c>
      <c r="J21" s="97">
        <f>1-Table195781011121314236172728151617187202128[[#This Row],[i]]</f>
        <v>0.25</v>
      </c>
      <c r="K21" s="99">
        <f>(Table195781011121314236172728151617187202128[[#This Row],[h]]*Table195781011121314236172728151617187202128[[#This Row],[i]])</f>
        <v>515292.16406249988</v>
      </c>
      <c r="L21" s="40" t="str">
        <f t="shared" si="4"/>
        <v/>
      </c>
      <c r="M21" s="40">
        <f t="shared" si="4"/>
        <v>528174.46816406236</v>
      </c>
      <c r="N21" s="40" t="str">
        <f t="shared" si="4"/>
        <v/>
      </c>
      <c r="O21" s="40" t="str">
        <f t="shared" si="4"/>
        <v/>
      </c>
      <c r="P21" s="40" t="str">
        <f t="shared" si="4"/>
        <v/>
      </c>
      <c r="Q21" s="40" t="str">
        <f t="shared" si="4"/>
        <v/>
      </c>
      <c r="R21" s="40" t="str">
        <f t="shared" si="4"/>
        <v/>
      </c>
      <c r="S21" s="40" t="str">
        <f t="shared" si="4"/>
        <v/>
      </c>
      <c r="T21" s="40" t="str">
        <f t="shared" si="4"/>
        <v/>
      </c>
      <c r="U21" s="40" t="str">
        <f t="shared" si="4"/>
        <v/>
      </c>
      <c r="V21" s="40" t="str">
        <f t="shared" si="4"/>
        <v/>
      </c>
      <c r="W21" s="40" t="str">
        <f t="shared" si="4"/>
        <v/>
      </c>
      <c r="X21" s="40" t="str">
        <f t="shared" si="4"/>
        <v/>
      </c>
      <c r="Y21" s="40" t="str">
        <f t="shared" si="4"/>
        <v/>
      </c>
      <c r="Z21" s="40" t="str">
        <f t="shared" si="4"/>
        <v/>
      </c>
      <c r="AA21" s="40" t="str">
        <f t="shared" si="4"/>
        <v/>
      </c>
      <c r="AB21" s="40" t="str">
        <f t="shared" si="5"/>
        <v/>
      </c>
      <c r="AC21" s="40" t="str">
        <f t="shared" si="5"/>
        <v/>
      </c>
      <c r="AD21" s="40" t="str">
        <f t="shared" si="5"/>
        <v/>
      </c>
      <c r="AE21" s="40" t="str">
        <f t="shared" si="5"/>
        <v/>
      </c>
      <c r="AF21" s="40" t="str">
        <f t="shared" si="5"/>
        <v/>
      </c>
      <c r="AG21" s="40" t="str">
        <f t="shared" si="5"/>
        <v/>
      </c>
      <c r="AH21" s="40" t="str">
        <f t="shared" si="5"/>
        <v/>
      </c>
      <c r="AI21" s="40" t="str">
        <f t="shared" si="5"/>
        <v/>
      </c>
      <c r="AJ21" s="40" t="str">
        <f t="shared" si="5"/>
        <v/>
      </c>
      <c r="AK21" s="40" t="str">
        <f t="shared" si="5"/>
        <v/>
      </c>
      <c r="AL21" s="40" t="str">
        <f t="shared" si="5"/>
        <v/>
      </c>
      <c r="AM21" s="40" t="str">
        <f t="shared" si="5"/>
        <v/>
      </c>
      <c r="AN21" s="40" t="str">
        <f t="shared" si="5"/>
        <v/>
      </c>
      <c r="AO21" s="40" t="str">
        <f t="shared" si="5"/>
        <v/>
      </c>
      <c r="AP21" s="40" t="str">
        <f t="shared" si="5"/>
        <v/>
      </c>
      <c r="AQ21" s="40" t="str">
        <f t="shared" si="5"/>
        <v/>
      </c>
      <c r="AR21" s="40" t="str">
        <f t="shared" si="6"/>
        <v/>
      </c>
      <c r="AS21" s="40" t="str">
        <f t="shared" si="6"/>
        <v/>
      </c>
      <c r="AT21" s="40" t="str">
        <f t="shared" si="6"/>
        <v/>
      </c>
      <c r="AU21" s="40" t="str">
        <f t="shared" si="6"/>
        <v/>
      </c>
      <c r="AV21" s="40" t="str">
        <f t="shared" si="6"/>
        <v/>
      </c>
      <c r="AW21" s="40" t="str">
        <f t="shared" si="6"/>
        <v/>
      </c>
      <c r="AX21" s="40" t="str">
        <f t="shared" si="6"/>
        <v/>
      </c>
      <c r="AY21" s="40" t="str">
        <f t="shared" si="6"/>
        <v/>
      </c>
      <c r="AZ21" s="40" t="str">
        <f t="shared" si="6"/>
        <v/>
      </c>
      <c r="BA21" s="40" t="str">
        <f t="shared" si="6"/>
        <v/>
      </c>
      <c r="BB21" s="40" t="str">
        <f t="shared" si="6"/>
        <v/>
      </c>
      <c r="BC21" s="40" t="str">
        <f t="shared" si="6"/>
        <v/>
      </c>
      <c r="BD21" s="40" t="str">
        <f t="shared" si="6"/>
        <v/>
      </c>
      <c r="BE21" s="40" t="str">
        <f t="shared" si="6"/>
        <v/>
      </c>
      <c r="BF21" s="40" t="str">
        <f t="shared" si="6"/>
        <v/>
      </c>
      <c r="BG21" s="40" t="str">
        <f t="shared" si="6"/>
        <v/>
      </c>
      <c r="BH21" s="40" t="str">
        <f t="shared" si="7"/>
        <v/>
      </c>
      <c r="BI21" s="40" t="str">
        <f t="shared" si="7"/>
        <v/>
      </c>
      <c r="BJ21" s="40" t="str">
        <f t="shared" si="7"/>
        <v/>
      </c>
      <c r="BK21" s="40" t="str">
        <f t="shared" si="7"/>
        <v/>
      </c>
      <c r="BL21" s="40" t="str">
        <f t="shared" si="7"/>
        <v/>
      </c>
      <c r="BM21" s="40" t="str">
        <f t="shared" si="7"/>
        <v/>
      </c>
      <c r="BN21" s="40" t="str">
        <f t="shared" si="7"/>
        <v/>
      </c>
      <c r="BO21" s="40" t="str">
        <f t="shared" si="7"/>
        <v/>
      </c>
      <c r="BP21" s="40" t="str">
        <f t="shared" si="7"/>
        <v/>
      </c>
      <c r="BQ21" s="40" t="str">
        <f t="shared" si="7"/>
        <v/>
      </c>
      <c r="BR21" s="40" t="str">
        <f t="shared" si="7"/>
        <v/>
      </c>
      <c r="BS21" s="40" t="str">
        <f t="shared" si="7"/>
        <v/>
      </c>
      <c r="BT21" s="113">
        <f>SUM(L21:BS21)</f>
        <v>528174.46816406236</v>
      </c>
    </row>
    <row r="22" spans="1:72" ht="13.5" customHeight="1">
      <c r="A22" s="626">
        <v>90</v>
      </c>
      <c r="B22" s="627" t="str">
        <f>INDEX('T-Transportation'!$C$6:$C$44,MATCH(Table195781011121314236172728151617187202128[[#This Row],[a]],'T-Transportation'!$B$6:$B$44,0))</f>
        <v>338 Ave and 32 Street Intersection Improvements</v>
      </c>
      <c r="C22" s="120">
        <f>INDEX('T-Transportation'!$G$6:$G$17,MATCH(Table195781011121314236172728151617187202128[[#This Row],[a]],'T-Transportation'!$B$6:$B$17,0))</f>
        <v>2027</v>
      </c>
      <c r="D22" s="121">
        <f>INDEX('T-Transportation'!$H$6:$H$17,MATCH(Table195781011121314236172728151617187202128[[#This Row],[a]],'T-Transportation'!$B$6:$B$17,0))</f>
        <v>2028</v>
      </c>
      <c r="E22" s="122">
        <f>(D22-C22)+1</f>
        <v>2</v>
      </c>
      <c r="F22" s="619">
        <f>INDEX('T-Transportation'!$L$6:$L$17,MATCH(Table195781011121314236172728151617187202128[[#This Row],[a]],'T-Transportation'!$B$6:$B$17,0))</f>
        <v>870158.37499999988</v>
      </c>
      <c r="G22" s="123"/>
      <c r="H22" s="124">
        <f>+Table195781011121314236172728151617187202128[[#This Row],[f]]-Table195781011121314236172728151617187202128[[#This Row],[g]]</f>
        <v>870158.37499999988</v>
      </c>
      <c r="I22" s="216">
        <f>INDEX('T-Transportation'!$I$6:$I$17,MATCH(Table195781011121314236172728151617187202128[[#This Row],[a]],'T-Transportation'!$B$6:$B$17,0))</f>
        <v>0.503</v>
      </c>
      <c r="J22" s="125">
        <f>1-Table195781011121314236172728151617187202128[[#This Row],[i]]</f>
        <v>0.497</v>
      </c>
      <c r="K22" s="126">
        <f>(Table195781011121314236172728151617187202128[[#This Row],[h]]*Table195781011121314236172728151617187202128[[#This Row],[i]])</f>
        <v>437689.66262499994</v>
      </c>
      <c r="L22" s="40" t="str">
        <f t="shared" si="4"/>
        <v/>
      </c>
      <c r="M22" s="40">
        <f t="shared" si="4"/>
        <v>224315.95209531244</v>
      </c>
      <c r="N22" s="40">
        <f t="shared" si="4"/>
        <v>229923.85089769526</v>
      </c>
      <c r="O22" s="40" t="str">
        <f t="shared" si="4"/>
        <v/>
      </c>
      <c r="P22" s="40" t="str">
        <f t="shared" si="4"/>
        <v/>
      </c>
      <c r="Q22" s="40" t="str">
        <f t="shared" si="4"/>
        <v/>
      </c>
      <c r="R22" s="40" t="str">
        <f t="shared" si="4"/>
        <v/>
      </c>
      <c r="S22" s="40" t="str">
        <f t="shared" si="4"/>
        <v/>
      </c>
      <c r="T22" s="40" t="str">
        <f t="shared" si="4"/>
        <v/>
      </c>
      <c r="U22" s="40" t="str">
        <f t="shared" si="4"/>
        <v/>
      </c>
      <c r="V22" s="40" t="str">
        <f t="shared" si="4"/>
        <v/>
      </c>
      <c r="W22" s="40" t="str">
        <f t="shared" si="4"/>
        <v/>
      </c>
      <c r="X22" s="40" t="str">
        <f t="shared" si="4"/>
        <v/>
      </c>
      <c r="Y22" s="40" t="str">
        <f t="shared" si="4"/>
        <v/>
      </c>
      <c r="Z22" s="40" t="str">
        <f t="shared" si="4"/>
        <v/>
      </c>
      <c r="AA22" s="40" t="str">
        <f t="shared" si="4"/>
        <v/>
      </c>
      <c r="AB22" s="40" t="str">
        <f t="shared" si="5"/>
        <v/>
      </c>
      <c r="AC22" s="40" t="str">
        <f t="shared" si="5"/>
        <v/>
      </c>
      <c r="AD22" s="40" t="str">
        <f t="shared" si="5"/>
        <v/>
      </c>
      <c r="AE22" s="40" t="str">
        <f t="shared" si="5"/>
        <v/>
      </c>
      <c r="AF22" s="40" t="str">
        <f t="shared" si="5"/>
        <v/>
      </c>
      <c r="AG22" s="40" t="str">
        <f t="shared" si="5"/>
        <v/>
      </c>
      <c r="AH22" s="40" t="str">
        <f t="shared" si="5"/>
        <v/>
      </c>
      <c r="AI22" s="40" t="str">
        <f t="shared" si="5"/>
        <v/>
      </c>
      <c r="AJ22" s="40" t="str">
        <f t="shared" si="5"/>
        <v/>
      </c>
      <c r="AK22" s="40" t="str">
        <f t="shared" si="5"/>
        <v/>
      </c>
      <c r="AL22" s="40" t="str">
        <f t="shared" si="5"/>
        <v/>
      </c>
      <c r="AM22" s="40" t="str">
        <f t="shared" si="5"/>
        <v/>
      </c>
      <c r="AN22" s="40" t="str">
        <f t="shared" si="5"/>
        <v/>
      </c>
      <c r="AO22" s="40" t="str">
        <f t="shared" si="5"/>
        <v/>
      </c>
      <c r="AP22" s="40" t="str">
        <f t="shared" si="5"/>
        <v/>
      </c>
      <c r="AQ22" s="40" t="str">
        <f t="shared" si="5"/>
        <v/>
      </c>
      <c r="AR22" s="40" t="str">
        <f t="shared" si="6"/>
        <v/>
      </c>
      <c r="AS22" s="40" t="str">
        <f t="shared" si="6"/>
        <v/>
      </c>
      <c r="AT22" s="40" t="str">
        <f t="shared" si="6"/>
        <v/>
      </c>
      <c r="AU22" s="40" t="str">
        <f t="shared" si="6"/>
        <v/>
      </c>
      <c r="AV22" s="40" t="str">
        <f t="shared" si="6"/>
        <v/>
      </c>
      <c r="AW22" s="40" t="str">
        <f t="shared" si="6"/>
        <v/>
      </c>
      <c r="AX22" s="40" t="str">
        <f t="shared" si="6"/>
        <v/>
      </c>
      <c r="AY22" s="40" t="str">
        <f t="shared" si="6"/>
        <v/>
      </c>
      <c r="AZ22" s="40" t="str">
        <f t="shared" si="6"/>
        <v/>
      </c>
      <c r="BA22" s="40" t="str">
        <f t="shared" si="6"/>
        <v/>
      </c>
      <c r="BB22" s="40" t="str">
        <f t="shared" si="6"/>
        <v/>
      </c>
      <c r="BC22" s="40" t="str">
        <f t="shared" si="6"/>
        <v/>
      </c>
      <c r="BD22" s="40" t="str">
        <f t="shared" si="6"/>
        <v/>
      </c>
      <c r="BE22" s="40" t="str">
        <f t="shared" si="6"/>
        <v/>
      </c>
      <c r="BF22" s="40" t="str">
        <f t="shared" si="6"/>
        <v/>
      </c>
      <c r="BG22" s="40" t="str">
        <f t="shared" si="6"/>
        <v/>
      </c>
      <c r="BH22" s="40" t="str">
        <f t="shared" si="7"/>
        <v/>
      </c>
      <c r="BI22" s="40" t="str">
        <f t="shared" si="7"/>
        <v/>
      </c>
      <c r="BJ22" s="40" t="str">
        <f t="shared" si="7"/>
        <v/>
      </c>
      <c r="BK22" s="40" t="str">
        <f t="shared" si="7"/>
        <v/>
      </c>
      <c r="BL22" s="40" t="str">
        <f t="shared" si="7"/>
        <v/>
      </c>
      <c r="BM22" s="40" t="str">
        <f t="shared" si="7"/>
        <v/>
      </c>
      <c r="BN22" s="40" t="str">
        <f t="shared" si="7"/>
        <v/>
      </c>
      <c r="BO22" s="40" t="str">
        <f t="shared" si="7"/>
        <v/>
      </c>
      <c r="BP22" s="40" t="str">
        <f t="shared" si="7"/>
        <v/>
      </c>
      <c r="BQ22" s="40" t="str">
        <f t="shared" si="7"/>
        <v/>
      </c>
      <c r="BR22" s="40" t="str">
        <f t="shared" si="7"/>
        <v/>
      </c>
      <c r="BS22" s="40" t="str">
        <f t="shared" si="7"/>
        <v/>
      </c>
      <c r="BT22" s="113">
        <f t="shared" si="8"/>
        <v>454239.8029930077</v>
      </c>
    </row>
    <row r="23" spans="1:72" ht="13.5" customHeight="1" thickBot="1">
      <c r="A23" s="628" t="s">
        <v>156</v>
      </c>
      <c r="B23" s="625" t="str">
        <f>INDEX('T-Transportation'!$C$6:$C$44,MATCH(Table195781011121314236172728151617187202128[[#This Row],[a]],'T-Transportation'!$B$6:$B$44,0))</f>
        <v>338 Avenue Expansion from Northridge Drive to Highway 2 - Functional Plan &amp; Detailed Design</v>
      </c>
      <c r="C23" s="118">
        <f>INDEX('T-Transportation'!$G$6:$G$17,MATCH(Table195781011121314236172728151617187202128[[#This Row],[a]],'T-Transportation'!$B$6:$B$17,0))</f>
        <v>2026</v>
      </c>
      <c r="D23" s="118">
        <f>INDEX('T-Transportation'!$H$6:$H$17,MATCH(Table195781011121314236172728151617187202128[[#This Row],[a]],'T-Transportation'!$B$6:$B$17,0))</f>
        <v>2026</v>
      </c>
      <c r="E23" s="119">
        <f t="shared" ref="E23" si="12">(D23-C23)+1</f>
        <v>1</v>
      </c>
      <c r="F23" s="621">
        <f>INDEX('T-Transportation'!$L$6:$L$17,MATCH(Table195781011121314236172728151617187202128[[#This Row],[a]],'T-Transportation'!$B$6:$B$17,0))</f>
        <v>96109</v>
      </c>
      <c r="G23" s="96"/>
      <c r="H23" s="98">
        <f>+Table195781011121314236172728151617187202128[[#This Row],[f]]-Table195781011121314236172728151617187202128[[#This Row],[g]]</f>
        <v>96109</v>
      </c>
      <c r="I23" s="218">
        <f>INDEX('T-Transportation'!$I$6:$I$17,MATCH(Table195781011121314236172728151617187202128[[#This Row],[a]],'T-Transportation'!$B$6:$B$17,0))</f>
        <v>0.75</v>
      </c>
      <c r="J23" s="97">
        <f>1-Table195781011121314236172728151617187202128[[#This Row],[i]]</f>
        <v>0.25</v>
      </c>
      <c r="K23" s="99">
        <f>(Table195781011121314236172728151617187202128[[#This Row],[h]]*Table195781011121314236172728151617187202128[[#This Row],[i]])</f>
        <v>72081.75</v>
      </c>
      <c r="L23" s="40">
        <f t="shared" ref="L23:AA23" si="13">IF(AND(L$10=$C23,L$10=$D23),(($K23/$E23)*L$6),IF(AND(L$10&gt;=$C23,L$10&lt;=$D23),(($K23/$E23)*L$6),""))</f>
        <v>72081.75</v>
      </c>
      <c r="M23" s="40" t="str">
        <f t="shared" si="13"/>
        <v/>
      </c>
      <c r="N23" s="40" t="str">
        <f t="shared" si="13"/>
        <v/>
      </c>
      <c r="O23" s="40" t="str">
        <f t="shared" si="13"/>
        <v/>
      </c>
      <c r="P23" s="40" t="str">
        <f t="shared" si="13"/>
        <v/>
      </c>
      <c r="Q23" s="40" t="str">
        <f t="shared" si="4"/>
        <v/>
      </c>
      <c r="R23" s="40" t="str">
        <f t="shared" si="13"/>
        <v/>
      </c>
      <c r="S23" s="40" t="str">
        <f t="shared" si="13"/>
        <v/>
      </c>
      <c r="T23" s="40" t="str">
        <f t="shared" si="13"/>
        <v/>
      </c>
      <c r="U23" s="40" t="str">
        <f t="shared" si="13"/>
        <v/>
      </c>
      <c r="V23" s="40" t="str">
        <f t="shared" si="13"/>
        <v/>
      </c>
      <c r="W23" s="40" t="str">
        <f t="shared" si="13"/>
        <v/>
      </c>
      <c r="X23" s="40" t="str">
        <f t="shared" si="13"/>
        <v/>
      </c>
      <c r="Y23" s="40" t="str">
        <f t="shared" si="13"/>
        <v/>
      </c>
      <c r="Z23" s="40" t="str">
        <f t="shared" si="13"/>
        <v/>
      </c>
      <c r="AA23" s="40" t="str">
        <f t="shared" si="13"/>
        <v/>
      </c>
      <c r="AB23" s="40" t="str">
        <f t="shared" ref="AB23:AQ23" si="14">IF(AND(AB$10=$C23,AB$10=$D23),(($K23/$E23)*AB$6),IF(AND(AB$10&gt;=$C23,AB$10&lt;=$D23),(($K23/$E23)*AB$6),""))</f>
        <v/>
      </c>
      <c r="AC23" s="40" t="str">
        <f t="shared" si="14"/>
        <v/>
      </c>
      <c r="AD23" s="40" t="str">
        <f t="shared" si="14"/>
        <v/>
      </c>
      <c r="AE23" s="40" t="str">
        <f t="shared" si="14"/>
        <v/>
      </c>
      <c r="AF23" s="40" t="str">
        <f t="shared" si="14"/>
        <v/>
      </c>
      <c r="AG23" s="40" t="str">
        <f t="shared" si="14"/>
        <v/>
      </c>
      <c r="AH23" s="40" t="str">
        <f t="shared" si="14"/>
        <v/>
      </c>
      <c r="AI23" s="40" t="str">
        <f t="shared" si="14"/>
        <v/>
      </c>
      <c r="AJ23" s="40" t="str">
        <f t="shared" si="14"/>
        <v/>
      </c>
      <c r="AK23" s="40" t="str">
        <f t="shared" si="14"/>
        <v/>
      </c>
      <c r="AL23" s="40" t="str">
        <f t="shared" si="14"/>
        <v/>
      </c>
      <c r="AM23" s="40" t="str">
        <f t="shared" si="14"/>
        <v/>
      </c>
      <c r="AN23" s="40" t="str">
        <f t="shared" si="14"/>
        <v/>
      </c>
      <c r="AO23" s="40" t="str">
        <f t="shared" si="14"/>
        <v/>
      </c>
      <c r="AP23" s="40" t="str">
        <f t="shared" si="14"/>
        <v/>
      </c>
      <c r="AQ23" s="40" t="str">
        <f t="shared" si="14"/>
        <v/>
      </c>
      <c r="AR23" s="40" t="str">
        <f t="shared" ref="AR23:BG23" si="15">IF(AND(AR$10=$C23,AR$10=$D23),(($K23/$E23)*AR$6),IF(AND(AR$10&gt;=$C23,AR$10&lt;=$D23),(($K23/$E23)*AR$6),""))</f>
        <v/>
      </c>
      <c r="AS23" s="40" t="str">
        <f t="shared" si="15"/>
        <v/>
      </c>
      <c r="AT23" s="40" t="str">
        <f t="shared" si="15"/>
        <v/>
      </c>
      <c r="AU23" s="40" t="str">
        <f t="shared" si="15"/>
        <v/>
      </c>
      <c r="AV23" s="40" t="str">
        <f t="shared" si="15"/>
        <v/>
      </c>
      <c r="AW23" s="40" t="str">
        <f t="shared" si="15"/>
        <v/>
      </c>
      <c r="AX23" s="40" t="str">
        <f t="shared" si="15"/>
        <v/>
      </c>
      <c r="AY23" s="40" t="str">
        <f t="shared" si="15"/>
        <v/>
      </c>
      <c r="AZ23" s="40" t="str">
        <f t="shared" si="15"/>
        <v/>
      </c>
      <c r="BA23" s="40" t="str">
        <f t="shared" si="15"/>
        <v/>
      </c>
      <c r="BB23" s="40" t="str">
        <f t="shared" si="15"/>
        <v/>
      </c>
      <c r="BC23" s="40" t="str">
        <f t="shared" si="15"/>
        <v/>
      </c>
      <c r="BD23" s="40" t="str">
        <f t="shared" si="15"/>
        <v/>
      </c>
      <c r="BE23" s="40" t="str">
        <f t="shared" si="15"/>
        <v/>
      </c>
      <c r="BF23" s="40" t="str">
        <f t="shared" si="15"/>
        <v/>
      </c>
      <c r="BG23" s="40" t="str">
        <f t="shared" si="15"/>
        <v/>
      </c>
      <c r="BH23" s="40" t="str">
        <f t="shared" ref="BH23:BS23" si="16">IF(AND(BH$10=$C23,BH$10=$D23),(($K23/$E23)*BH$6),IF(AND(BH$10&gt;=$C23,BH$10&lt;=$D23),(($K23/$E23)*BH$6),""))</f>
        <v/>
      </c>
      <c r="BI23" s="40" t="str">
        <f t="shared" si="16"/>
        <v/>
      </c>
      <c r="BJ23" s="40" t="str">
        <f t="shared" si="16"/>
        <v/>
      </c>
      <c r="BK23" s="40" t="str">
        <f t="shared" si="16"/>
        <v/>
      </c>
      <c r="BL23" s="40" t="str">
        <f t="shared" si="16"/>
        <v/>
      </c>
      <c r="BM23" s="40" t="str">
        <f t="shared" si="16"/>
        <v/>
      </c>
      <c r="BN23" s="40" t="str">
        <f t="shared" si="16"/>
        <v/>
      </c>
      <c r="BO23" s="40" t="str">
        <f t="shared" si="16"/>
        <v/>
      </c>
      <c r="BP23" s="40" t="str">
        <f t="shared" si="16"/>
        <v/>
      </c>
      <c r="BQ23" s="40" t="str">
        <f t="shared" si="16"/>
        <v/>
      </c>
      <c r="BR23" s="40" t="str">
        <f t="shared" si="16"/>
        <v/>
      </c>
      <c r="BS23" s="40" t="str">
        <f t="shared" si="16"/>
        <v/>
      </c>
      <c r="BT23" s="113">
        <f>SUM(L23:BS23)</f>
        <v>72081.75</v>
      </c>
    </row>
    <row r="24" spans="1:72" ht="15.6" thickTop="1" thickBot="1">
      <c r="A24" s="6"/>
      <c r="B24" s="6"/>
      <c r="C24" s="6"/>
      <c r="D24" s="6"/>
      <c r="E24" s="6"/>
      <c r="F24" s="12">
        <f>SUM(Table195781011121314236172728151617187202128[f])</f>
        <v>41846102.468749985</v>
      </c>
      <c r="G24" s="12"/>
      <c r="H24" s="12"/>
      <c r="I24" s="12"/>
      <c r="J24" s="12"/>
      <c r="K24" s="7">
        <f>SUM(Table195781011121314236172728151617187202128[k])</f>
        <v>21253726.059812494</v>
      </c>
      <c r="L24" s="7">
        <f>+SUM(L12:L23)</f>
        <v>107592</v>
      </c>
      <c r="M24" s="7">
        <f t="shared" ref="M24" si="17">+SUM(M12:M23)</f>
        <v>804220.47676718724</v>
      </c>
      <c r="N24" s="7">
        <f t="shared" ref="N24:AS24" si="18">+SUM(N12:N23)</f>
        <v>736722.10858293273</v>
      </c>
      <c r="O24" s="7">
        <f t="shared" si="18"/>
        <v>465119.32350884785</v>
      </c>
      <c r="P24" s="7">
        <f t="shared" si="18"/>
        <v>476747.30659656902</v>
      </c>
      <c r="Q24" s="7">
        <f t="shared" si="18"/>
        <v>200673.18600567154</v>
      </c>
      <c r="R24" s="7">
        <f t="shared" si="18"/>
        <v>205690.0156558133</v>
      </c>
      <c r="S24" s="7">
        <f t="shared" si="18"/>
        <v>210832.26604720863</v>
      </c>
      <c r="T24" s="7">
        <f t="shared" si="18"/>
        <v>216103.0726983888</v>
      </c>
      <c r="U24" s="7">
        <f>+SUM(U12:U23)</f>
        <v>221505.64951584849</v>
      </c>
      <c r="V24" s="7">
        <f t="shared" si="18"/>
        <v>2217566.0675451783</v>
      </c>
      <c r="W24" s="7">
        <f t="shared" si="18"/>
        <v>2273005.2192338076</v>
      </c>
      <c r="X24" s="7">
        <f t="shared" si="18"/>
        <v>2329830.3497146526</v>
      </c>
      <c r="Y24" s="7">
        <f t="shared" si="18"/>
        <v>2388076.1084575187</v>
      </c>
      <c r="Z24" s="7">
        <f t="shared" si="18"/>
        <v>2835816.399199869</v>
      </c>
      <c r="AA24" s="7">
        <f t="shared" si="18"/>
        <v>2906711.8091798658</v>
      </c>
      <c r="AB24" s="7">
        <f t="shared" si="18"/>
        <v>2626350.853656495</v>
      </c>
      <c r="AC24" s="7">
        <f t="shared" si="18"/>
        <v>2635989.1923089935</v>
      </c>
      <c r="AD24" s="7">
        <f t="shared" si="18"/>
        <v>2701888.9221167183</v>
      </c>
      <c r="AE24" s="7">
        <f t="shared" si="18"/>
        <v>2769436.1451696358</v>
      </c>
      <c r="AF24" s="7">
        <f t="shared" si="18"/>
        <v>0</v>
      </c>
      <c r="AG24" s="7">
        <f t="shared" si="18"/>
        <v>0</v>
      </c>
      <c r="AH24" s="7">
        <f t="shared" si="18"/>
        <v>0</v>
      </c>
      <c r="AI24" s="7">
        <f t="shared" si="18"/>
        <v>0</v>
      </c>
      <c r="AJ24" s="7">
        <f t="shared" si="18"/>
        <v>0</v>
      </c>
      <c r="AK24" s="7">
        <f t="shared" si="18"/>
        <v>0</v>
      </c>
      <c r="AL24" s="7">
        <f t="shared" si="18"/>
        <v>0</v>
      </c>
      <c r="AM24" s="7">
        <f t="shared" si="18"/>
        <v>0</v>
      </c>
      <c r="AN24" s="7">
        <f t="shared" si="18"/>
        <v>0</v>
      </c>
      <c r="AO24" s="7">
        <f t="shared" si="18"/>
        <v>0</v>
      </c>
      <c r="AP24" s="7">
        <f t="shared" si="18"/>
        <v>0</v>
      </c>
      <c r="AQ24" s="7">
        <f t="shared" si="18"/>
        <v>0</v>
      </c>
      <c r="AR24" s="7">
        <f t="shared" si="18"/>
        <v>0</v>
      </c>
      <c r="AS24" s="7">
        <f t="shared" si="18"/>
        <v>0</v>
      </c>
      <c r="AT24" s="7">
        <f t="shared" ref="AT24:BS24" si="19">+SUM(AT12:AT23)</f>
        <v>0</v>
      </c>
      <c r="AU24" s="7">
        <f t="shared" si="19"/>
        <v>0</v>
      </c>
      <c r="AV24" s="7">
        <f t="shared" si="19"/>
        <v>0</v>
      </c>
      <c r="AW24" s="7">
        <f t="shared" si="19"/>
        <v>0</v>
      </c>
      <c r="AX24" s="7">
        <f t="shared" si="19"/>
        <v>0</v>
      </c>
      <c r="AY24" s="7">
        <f t="shared" si="19"/>
        <v>0</v>
      </c>
      <c r="AZ24" s="7">
        <f t="shared" si="19"/>
        <v>0</v>
      </c>
      <c r="BA24" s="7">
        <f t="shared" si="19"/>
        <v>0</v>
      </c>
      <c r="BB24" s="7">
        <f t="shared" si="19"/>
        <v>0</v>
      </c>
      <c r="BC24" s="7">
        <f t="shared" si="19"/>
        <v>0</v>
      </c>
      <c r="BD24" s="7">
        <f t="shared" si="19"/>
        <v>0</v>
      </c>
      <c r="BE24" s="7">
        <f t="shared" si="19"/>
        <v>0</v>
      </c>
      <c r="BF24" s="7">
        <f t="shared" si="19"/>
        <v>0</v>
      </c>
      <c r="BG24" s="7">
        <f t="shared" si="19"/>
        <v>0</v>
      </c>
      <c r="BH24" s="7">
        <f t="shared" si="19"/>
        <v>0</v>
      </c>
      <c r="BI24" s="7">
        <f t="shared" si="19"/>
        <v>0</v>
      </c>
      <c r="BJ24" s="7">
        <f t="shared" si="19"/>
        <v>0</v>
      </c>
      <c r="BK24" s="7">
        <f t="shared" si="19"/>
        <v>0</v>
      </c>
      <c r="BL24" s="7">
        <f t="shared" si="19"/>
        <v>0</v>
      </c>
      <c r="BM24" s="7">
        <f t="shared" si="19"/>
        <v>0</v>
      </c>
      <c r="BN24" s="7">
        <f t="shared" si="19"/>
        <v>0</v>
      </c>
      <c r="BO24" s="7">
        <f t="shared" si="19"/>
        <v>0</v>
      </c>
      <c r="BP24" s="7">
        <f t="shared" si="19"/>
        <v>0</v>
      </c>
      <c r="BQ24" s="7">
        <f t="shared" si="19"/>
        <v>0</v>
      </c>
      <c r="BR24" s="7">
        <f t="shared" si="19"/>
        <v>0</v>
      </c>
      <c r="BS24" s="7">
        <f t="shared" si="19"/>
        <v>0</v>
      </c>
      <c r="BT24" s="7">
        <f>SUM(BT12:BT23)</f>
        <v>29329876.4719612</v>
      </c>
    </row>
    <row r="26" spans="1:72" ht="15" thickBot="1">
      <c r="G26"/>
      <c r="H26"/>
      <c r="I26"/>
    </row>
    <row r="27" spans="1:72">
      <c r="A27" s="102"/>
      <c r="B27" s="19">
        <v>1</v>
      </c>
      <c r="C27" s="20">
        <v>2</v>
      </c>
      <c r="D27" s="20">
        <v>3</v>
      </c>
      <c r="E27" s="20">
        <v>4</v>
      </c>
      <c r="F27" s="20">
        <v>5</v>
      </c>
      <c r="G27" s="20">
        <v>6</v>
      </c>
      <c r="H27" s="20"/>
      <c r="I27" s="20">
        <v>7</v>
      </c>
      <c r="J27" s="20">
        <v>8</v>
      </c>
      <c r="K27" s="20">
        <v>9</v>
      </c>
      <c r="L27" s="25">
        <v>10</v>
      </c>
      <c r="M27" s="26">
        <v>11</v>
      </c>
      <c r="N27" s="27">
        <v>12</v>
      </c>
    </row>
    <row r="28" spans="1:72" ht="15" customHeight="1">
      <c r="A28" s="103"/>
      <c r="B28" s="74" t="s">
        <v>38</v>
      </c>
      <c r="C28" s="696" t="s">
        <v>37</v>
      </c>
      <c r="D28" s="696" t="s">
        <v>181</v>
      </c>
      <c r="E28" s="696" t="s">
        <v>185</v>
      </c>
      <c r="F28" s="696" t="s">
        <v>166</v>
      </c>
      <c r="G28" s="22" t="s">
        <v>36</v>
      </c>
      <c r="H28" s="696" t="s">
        <v>164</v>
      </c>
      <c r="I28" s="23"/>
      <c r="J28" s="695" t="s">
        <v>35</v>
      </c>
      <c r="K28" s="696" t="s">
        <v>34</v>
      </c>
      <c r="L28" s="697" t="s">
        <v>186</v>
      </c>
      <c r="M28" s="698"/>
      <c r="N28" s="699" t="s">
        <v>33</v>
      </c>
    </row>
    <row r="29" spans="1:72">
      <c r="A29" s="103"/>
      <c r="B29" s="74"/>
      <c r="C29" s="696"/>
      <c r="D29" s="696"/>
      <c r="E29" s="696"/>
      <c r="F29" s="696"/>
      <c r="G29" s="22"/>
      <c r="H29" s="696"/>
      <c r="I29" s="24">
        <v>27839.840887046903</v>
      </c>
      <c r="J29" s="695"/>
      <c r="K29" s="696"/>
      <c r="L29" s="700"/>
      <c r="M29" s="701"/>
      <c r="N29" s="699"/>
    </row>
    <row r="30" spans="1:72">
      <c r="A30" s="102"/>
      <c r="B30" s="21"/>
      <c r="C30" s="696"/>
      <c r="D30" s="696"/>
      <c r="E30" s="696"/>
      <c r="F30" s="696"/>
      <c r="G30" s="22"/>
      <c r="H30" s="696"/>
      <c r="I30" s="22"/>
      <c r="J30" s="22"/>
      <c r="K30" s="696"/>
      <c r="L30" s="18"/>
      <c r="M30" s="17"/>
      <c r="N30" s="699"/>
    </row>
    <row r="31" spans="1:72">
      <c r="A31" s="102"/>
      <c r="B31" s="21"/>
      <c r="C31" s="696"/>
      <c r="D31" s="696"/>
      <c r="E31" s="50"/>
      <c r="F31" s="50"/>
      <c r="G31" s="22"/>
      <c r="H31" s="696"/>
      <c r="I31" s="89"/>
      <c r="J31" s="22"/>
      <c r="K31" s="22"/>
      <c r="L31" s="49" t="s">
        <v>7</v>
      </c>
      <c r="M31" s="90" t="s">
        <v>8</v>
      </c>
      <c r="N31" s="699"/>
    </row>
    <row r="32" spans="1:72">
      <c r="A32" s="104"/>
      <c r="B32" s="91"/>
      <c r="C32" s="696"/>
      <c r="D32" s="231" t="s">
        <v>7</v>
      </c>
      <c r="E32" s="50" t="s">
        <v>8</v>
      </c>
      <c r="F32" s="50" t="s">
        <v>8</v>
      </c>
      <c r="G32" s="22"/>
      <c r="H32" s="22"/>
      <c r="I32" s="92" t="s">
        <v>11</v>
      </c>
      <c r="J32" s="231" t="s">
        <v>7</v>
      </c>
      <c r="K32" s="22"/>
      <c r="L32" s="489">
        <f>Assumptions!$B$6</f>
        <v>2.6740000000000003E-2</v>
      </c>
      <c r="M32" s="93">
        <f>+Assumptions!$B$7</f>
        <v>4.496E-2</v>
      </c>
      <c r="N32" s="699"/>
    </row>
    <row r="33" spans="1:16" ht="15" thickBot="1">
      <c r="A33" s="104"/>
      <c r="B33" s="241"/>
      <c r="C33" s="702"/>
      <c r="D33" s="242"/>
      <c r="E33" s="243"/>
      <c r="F33" s="244"/>
      <c r="G33" s="243"/>
      <c r="H33" s="243"/>
      <c r="I33" s="243">
        <f>L10</f>
        <v>2026</v>
      </c>
      <c r="J33" s="245" t="s">
        <v>182</v>
      </c>
      <c r="K33" s="245" t="s">
        <v>183</v>
      </c>
      <c r="L33" s="246"/>
      <c r="M33" s="247"/>
      <c r="N33" s="248" t="s">
        <v>184</v>
      </c>
    </row>
    <row r="34" spans="1:16" hidden="1">
      <c r="B34" s="240">
        <v>2023</v>
      </c>
      <c r="C34" s="279"/>
      <c r="D34" s="279"/>
      <c r="E34" s="279"/>
      <c r="F34" s="280"/>
      <c r="G34" s="281"/>
      <c r="H34" s="281"/>
      <c r="I34" s="282"/>
      <c r="J34" s="280"/>
      <c r="K34" s="280"/>
      <c r="L34" s="280"/>
      <c r="M34" s="283"/>
      <c r="N34" s="284"/>
    </row>
    <row r="35" spans="1:16" hidden="1">
      <c r="B35" s="94">
        <f t="shared" ref="B35:B71" si="20">+B34+1</f>
        <v>2024</v>
      </c>
      <c r="C35" s="180"/>
      <c r="D35" s="180"/>
      <c r="E35" s="180"/>
      <c r="F35" s="179"/>
      <c r="G35" s="181"/>
      <c r="H35" s="182"/>
      <c r="I35" s="180"/>
      <c r="J35" s="180"/>
      <c r="K35" s="179"/>
      <c r="L35" s="179"/>
      <c r="M35" s="237"/>
      <c r="N35" s="249"/>
    </row>
    <row r="36" spans="1:16" ht="15" hidden="1" thickBot="1">
      <c r="A36" s="105"/>
      <c r="B36" s="256">
        <f t="shared" si="20"/>
        <v>2025</v>
      </c>
      <c r="C36" s="257"/>
      <c r="D36" s="257"/>
      <c r="E36" s="257"/>
      <c r="F36" s="257"/>
      <c r="G36" s="258"/>
      <c r="H36" s="259"/>
      <c r="I36" s="277"/>
      <c r="J36" s="257"/>
      <c r="K36" s="257"/>
      <c r="L36" s="257"/>
      <c r="M36" s="260"/>
      <c r="N36" s="261"/>
      <c r="P36" s="14"/>
    </row>
    <row r="37" spans="1:16" ht="16.2">
      <c r="A37" s="105"/>
      <c r="B37" s="262">
        <f t="shared" si="20"/>
        <v>2026</v>
      </c>
      <c r="C37" s="634">
        <f>Assumptions!B31</f>
        <v>-575006.8005937502</v>
      </c>
      <c r="D37" s="266">
        <v>0</v>
      </c>
      <c r="E37" s="266">
        <v>0</v>
      </c>
      <c r="F37" s="267">
        <f ca="1">OFFSET($L$24,0,B37-Assumptions!$B$3)</f>
        <v>107592</v>
      </c>
      <c r="G37" s="300">
        <f>'Cost Recovery Timing'!R15</f>
        <v>18.475999999999999</v>
      </c>
      <c r="H37" s="263">
        <f>Assumptions!$B$23</f>
        <v>0.02</v>
      </c>
      <c r="I37" s="270">
        <f>+I29</f>
        <v>27839.840887046903</v>
      </c>
      <c r="J37" s="631">
        <f>(G37*I37*Assumptions!$B$28)+'2026 Collections Summary'!B20</f>
        <v>2394336.8900687238</v>
      </c>
      <c r="K37" s="267">
        <f t="shared" ref="K37:K71" ca="1" si="21">+C37+J37-F37</f>
        <v>1711738.0894749737</v>
      </c>
      <c r="L37" s="267">
        <f t="shared" ref="L37:L63" ca="1" si="22">IF(K37&lt;0,0,+K37*$L$32)</f>
        <v>45771.876512560804</v>
      </c>
      <c r="M37" s="632">
        <f t="shared" ref="M37:M63" ca="1" si="23">IF(K37&lt;0,+K37*$M$32,0)</f>
        <v>0</v>
      </c>
      <c r="N37" s="271">
        <f t="shared" ref="N37:N41" ca="1" si="24">+L37+K37+M37</f>
        <v>1757509.9659875345</v>
      </c>
      <c r="P37" s="44"/>
    </row>
    <row r="38" spans="1:16">
      <c r="A38" s="105"/>
      <c r="B38" s="212">
        <f t="shared" si="20"/>
        <v>2027</v>
      </c>
      <c r="C38" s="232">
        <f t="shared" ref="C38:C71" ca="1" si="25">+N37</f>
        <v>1757509.9659875345</v>
      </c>
      <c r="D38" s="278">
        <v>0</v>
      </c>
      <c r="E38" s="278">
        <v>0</v>
      </c>
      <c r="F38" s="233">
        <f ca="1">OFFSET($L$24,0,B38-Assumptions!$B$3)</f>
        <v>804220.47676718724</v>
      </c>
      <c r="G38" s="214">
        <f>'Cost Recovery Timing'!R16</f>
        <v>28.58</v>
      </c>
      <c r="H38" s="215">
        <f>Assumptions!$B$23</f>
        <v>0.02</v>
      </c>
      <c r="I38" s="233">
        <f>+IF(B38&gt;$B$62,0,I37*(1+$H38))</f>
        <v>28396.637704787841</v>
      </c>
      <c r="J38" s="633">
        <f>(G38*I38*Assumptions!$B$28)+(G37*I37*Assumptions!$B$27)+(G36*I36*Assumptions!$B$26)+'2026 Collections Summary'!B33</f>
        <v>2119686.6317495746</v>
      </c>
      <c r="K38" s="233">
        <f t="shared" ca="1" si="21"/>
        <v>3072976.1209699223</v>
      </c>
      <c r="L38" s="233">
        <f t="shared" ca="1" si="22"/>
        <v>82171.381474735739</v>
      </c>
      <c r="M38" s="234">
        <f t="shared" ca="1" si="23"/>
        <v>0</v>
      </c>
      <c r="N38" s="252">
        <f t="shared" ca="1" si="24"/>
        <v>3155147.502444658</v>
      </c>
      <c r="P38" s="44"/>
    </row>
    <row r="39" spans="1:16">
      <c r="A39" s="105"/>
      <c r="B39" s="212">
        <f t="shared" si="20"/>
        <v>2028</v>
      </c>
      <c r="C39" s="232">
        <f t="shared" ca="1" si="25"/>
        <v>3155147.502444658</v>
      </c>
      <c r="D39" s="278">
        <v>0</v>
      </c>
      <c r="E39" s="278">
        <v>0</v>
      </c>
      <c r="F39" s="233">
        <f ca="1">OFFSET($L$24,0,B39-Assumptions!$B$3)</f>
        <v>736722.10858293273</v>
      </c>
      <c r="G39" s="214">
        <f>'Cost Recovery Timing'!R17</f>
        <v>28.58</v>
      </c>
      <c r="H39" s="215">
        <f>Assumptions!$B$23</f>
        <v>0.02</v>
      </c>
      <c r="I39" s="233">
        <f t="shared" ref="I39:I71" si="26">+IF(B39&gt;$B$62,0,I38*(1+$H39))</f>
        <v>28964.570458883598</v>
      </c>
      <c r="J39" s="233">
        <f>(G39*I39*Assumptions!$B$28)+(G38*I38*Assumptions!$B$27)+(G37*I37*Assumptions!$B$26)</f>
        <v>697562.55888695037</v>
      </c>
      <c r="K39" s="233">
        <f t="shared" ca="1" si="21"/>
        <v>3115987.9527486758</v>
      </c>
      <c r="L39" s="233">
        <f t="shared" ca="1" si="22"/>
        <v>83321.517856499602</v>
      </c>
      <c r="M39" s="234">
        <f t="shared" ca="1" si="23"/>
        <v>0</v>
      </c>
      <c r="N39" s="252">
        <f t="shared" ca="1" si="24"/>
        <v>3199309.4706051755</v>
      </c>
      <c r="P39" s="44"/>
    </row>
    <row r="40" spans="1:16">
      <c r="A40" s="105"/>
      <c r="B40" s="212">
        <f t="shared" si="20"/>
        <v>2029</v>
      </c>
      <c r="C40" s="232">
        <f t="shared" ca="1" si="25"/>
        <v>3199309.4706051755</v>
      </c>
      <c r="D40" s="278">
        <v>0</v>
      </c>
      <c r="E40" s="278">
        <v>0</v>
      </c>
      <c r="F40" s="233">
        <f ca="1">OFFSET($L$24,0,B40-Assumptions!$B$3)</f>
        <v>465119.32350884785</v>
      </c>
      <c r="G40" s="214">
        <f>'Cost Recovery Timing'!R18</f>
        <v>28.58</v>
      </c>
      <c r="H40" s="215">
        <f>Assumptions!$B$23</f>
        <v>0.02</v>
      </c>
      <c r="I40" s="233">
        <f t="shared" si="26"/>
        <v>29543.861868061271</v>
      </c>
      <c r="J40" s="233">
        <f>(G40*I40*Assumptions!$B$28)+(G39*I39*Assumptions!$B$27)+(G38*I38*Assumptions!$B$26)</f>
        <v>826281.66101235989</v>
      </c>
      <c r="K40" s="233">
        <f t="shared" ca="1" si="21"/>
        <v>3560471.8081086874</v>
      </c>
      <c r="L40" s="233">
        <f t="shared" ca="1" si="22"/>
        <v>95207.016148826311</v>
      </c>
      <c r="M40" s="234">
        <f t="shared" ca="1" si="23"/>
        <v>0</v>
      </c>
      <c r="N40" s="252">
        <f t="shared" ca="1" si="24"/>
        <v>3655678.8242575135</v>
      </c>
      <c r="P40" s="44"/>
    </row>
    <row r="41" spans="1:16">
      <c r="A41" s="105"/>
      <c r="B41" s="212">
        <f t="shared" si="20"/>
        <v>2030</v>
      </c>
      <c r="C41" s="232">
        <f t="shared" ca="1" si="25"/>
        <v>3655678.8242575135</v>
      </c>
      <c r="D41" s="278">
        <v>0</v>
      </c>
      <c r="E41" s="278">
        <v>0</v>
      </c>
      <c r="F41" s="233">
        <f ca="1">OFFSET($L$24,0,B41-Assumptions!$B$3)</f>
        <v>476747.30659656902</v>
      </c>
      <c r="G41" s="214">
        <f>'Cost Recovery Timing'!R19</f>
        <v>28.58</v>
      </c>
      <c r="H41" s="215">
        <f>Assumptions!$B$23</f>
        <v>0.02</v>
      </c>
      <c r="I41" s="233">
        <f t="shared" si="26"/>
        <v>30134.739105422497</v>
      </c>
      <c r="J41" s="233">
        <f>(G41*I41*Assumptions!$B$28)+(G40*I40*Assumptions!$B$27)+(G39*I39*Assumptions!$B$26)</f>
        <v>842807.29423260712</v>
      </c>
      <c r="K41" s="233">
        <f t="shared" ca="1" si="21"/>
        <v>4021738.8118935516</v>
      </c>
      <c r="L41" s="233">
        <f t="shared" ca="1" si="22"/>
        <v>107541.29583003359</v>
      </c>
      <c r="M41" s="234">
        <f t="shared" ca="1" si="23"/>
        <v>0</v>
      </c>
      <c r="N41" s="252">
        <f t="shared" ca="1" si="24"/>
        <v>4129280.1077235853</v>
      </c>
      <c r="P41" s="44"/>
    </row>
    <row r="42" spans="1:16">
      <c r="A42" s="105"/>
      <c r="B42" s="212">
        <f t="shared" si="20"/>
        <v>2031</v>
      </c>
      <c r="C42" s="232">
        <f t="shared" ca="1" si="25"/>
        <v>4129280.1077235853</v>
      </c>
      <c r="D42" s="278">
        <v>0</v>
      </c>
      <c r="E42" s="278">
        <v>0</v>
      </c>
      <c r="F42" s="233">
        <f ca="1">OFFSET($L$24,0,B42-Assumptions!$B$3)</f>
        <v>200673.18600567154</v>
      </c>
      <c r="G42" s="214">
        <f>'Cost Recovery Timing'!R20</f>
        <v>28.58</v>
      </c>
      <c r="H42" s="215">
        <f>Assumptions!$B$23</f>
        <v>0.02</v>
      </c>
      <c r="I42" s="233">
        <f t="shared" si="26"/>
        <v>30737.433887530948</v>
      </c>
      <c r="J42" s="233">
        <f>(G42*I42*Assumptions!$B$28)+(G41*I41*Assumptions!$B$27)+(G40*I40*Assumptions!$B$26)</f>
        <v>859663.44011725928</v>
      </c>
      <c r="K42" s="233">
        <f t="shared" ca="1" si="21"/>
        <v>4788270.3618351733</v>
      </c>
      <c r="L42" s="233">
        <f t="shared" ca="1" si="22"/>
        <v>128038.34947547255</v>
      </c>
      <c r="M42" s="234">
        <f t="shared" ca="1" si="23"/>
        <v>0</v>
      </c>
      <c r="N42" s="252">
        <f t="shared" ref="N42:N49" ca="1" si="27">+L42+K42+M42</f>
        <v>4916308.7113106456</v>
      </c>
      <c r="P42" s="44"/>
    </row>
    <row r="43" spans="1:16">
      <c r="A43" s="105"/>
      <c r="B43" s="212">
        <f t="shared" si="20"/>
        <v>2032</v>
      </c>
      <c r="C43" s="232">
        <f t="shared" ca="1" si="25"/>
        <v>4916308.7113106456</v>
      </c>
      <c r="D43" s="278">
        <v>0</v>
      </c>
      <c r="E43" s="278">
        <v>0</v>
      </c>
      <c r="F43" s="233">
        <f ca="1">OFFSET($L$24,0,B43-Assumptions!$B$3)</f>
        <v>205690.0156558133</v>
      </c>
      <c r="G43" s="214">
        <f>'Cost Recovery Timing'!R21</f>
        <v>28.58</v>
      </c>
      <c r="H43" s="215">
        <f>Assumptions!$B$23</f>
        <v>0.02</v>
      </c>
      <c r="I43" s="233">
        <f t="shared" si="26"/>
        <v>31352.182565281568</v>
      </c>
      <c r="J43" s="233">
        <f>(G43*I43*Assumptions!$B$28)+(G42*I42*Assumptions!$B$27)+(G41*I41*Assumptions!$B$26)</f>
        <v>876856.70891960443</v>
      </c>
      <c r="K43" s="233">
        <f t="shared" ca="1" si="21"/>
        <v>5587475.4045744361</v>
      </c>
      <c r="L43" s="233">
        <f t="shared" ca="1" si="22"/>
        <v>149409.09231832044</v>
      </c>
      <c r="M43" s="234">
        <f t="shared" ca="1" si="23"/>
        <v>0</v>
      </c>
      <c r="N43" s="252">
        <f t="shared" ca="1" si="27"/>
        <v>5736884.4968927568</v>
      </c>
      <c r="P43" s="44"/>
    </row>
    <row r="44" spans="1:16">
      <c r="A44" s="105"/>
      <c r="B44" s="212">
        <f t="shared" si="20"/>
        <v>2033</v>
      </c>
      <c r="C44" s="232">
        <f t="shared" ca="1" si="25"/>
        <v>5736884.4968927568</v>
      </c>
      <c r="D44" s="278">
        <v>0</v>
      </c>
      <c r="E44" s="278">
        <v>0</v>
      </c>
      <c r="F44" s="233">
        <f ca="1">OFFSET($L$24,0,B44-Assumptions!$B$3)</f>
        <v>210832.26604720863</v>
      </c>
      <c r="G44" s="214">
        <f>'Cost Recovery Timing'!R22</f>
        <v>28.58</v>
      </c>
      <c r="H44" s="215">
        <f>Assumptions!$B$23</f>
        <v>0.02</v>
      </c>
      <c r="I44" s="233">
        <f t="shared" si="26"/>
        <v>31979.226216587198</v>
      </c>
      <c r="J44" s="233">
        <f>(G44*I44*Assumptions!$B$28)+(G43*I43*Assumptions!$B$27)+(G42*I42*Assumptions!$B$26)</f>
        <v>894393.84309799643</v>
      </c>
      <c r="K44" s="233">
        <f t="shared" ca="1" si="21"/>
        <v>6420446.0739435451</v>
      </c>
      <c r="L44" s="233">
        <f t="shared" ca="1" si="22"/>
        <v>171682.72801725043</v>
      </c>
      <c r="M44" s="234">
        <f t="shared" ca="1" si="23"/>
        <v>0</v>
      </c>
      <c r="N44" s="252">
        <f t="shared" ca="1" si="27"/>
        <v>6592128.8019607952</v>
      </c>
      <c r="P44" s="44"/>
    </row>
    <row r="45" spans="1:16">
      <c r="A45" s="105"/>
      <c r="B45" s="212">
        <f t="shared" si="20"/>
        <v>2034</v>
      </c>
      <c r="C45" s="232">
        <f t="shared" ca="1" si="25"/>
        <v>6592128.8019607952</v>
      </c>
      <c r="D45" s="278">
        <v>0</v>
      </c>
      <c r="E45" s="278">
        <v>0</v>
      </c>
      <c r="F45" s="233">
        <f ca="1">OFFSET($L$24,0,B45-Assumptions!$B$3)</f>
        <v>216103.0726983888</v>
      </c>
      <c r="G45" s="214">
        <f>'Cost Recovery Timing'!R23</f>
        <v>28.58</v>
      </c>
      <c r="H45" s="215">
        <f>Assumptions!$B$23</f>
        <v>0.02</v>
      </c>
      <c r="I45" s="233">
        <f t="shared" si="26"/>
        <v>32618.810740918943</v>
      </c>
      <c r="J45" s="233">
        <f>(G45*I45*Assumptions!$B$28)+(G44*I44*Assumptions!$B$27)+(G43*I43*Assumptions!$B$26)</f>
        <v>912281.71995995648</v>
      </c>
      <c r="K45" s="235">
        <f t="shared" ca="1" si="21"/>
        <v>7288307.4492223626</v>
      </c>
      <c r="L45" s="233">
        <f t="shared" ca="1" si="22"/>
        <v>194889.34119220599</v>
      </c>
      <c r="M45" s="234">
        <f t="shared" ca="1" si="23"/>
        <v>0</v>
      </c>
      <c r="N45" s="252">
        <f t="shared" ca="1" si="27"/>
        <v>7483196.790414569</v>
      </c>
      <c r="P45" s="44"/>
    </row>
    <row r="46" spans="1:16">
      <c r="A46" s="105"/>
      <c r="B46" s="212">
        <f t="shared" si="20"/>
        <v>2035</v>
      </c>
      <c r="C46" s="232">
        <f t="shared" ca="1" si="25"/>
        <v>7483196.790414569</v>
      </c>
      <c r="D46" s="278">
        <v>0</v>
      </c>
      <c r="E46" s="278">
        <v>0</v>
      </c>
      <c r="F46" s="233">
        <f ca="1">OFFSET($L$24,0,B46-Assumptions!$B$3)</f>
        <v>221505.64951584849</v>
      </c>
      <c r="G46" s="214">
        <f>'Cost Recovery Timing'!R24</f>
        <v>28.58</v>
      </c>
      <c r="H46" s="215">
        <f>Assumptions!$B$23</f>
        <v>0.02</v>
      </c>
      <c r="I46" s="233">
        <f t="shared" si="26"/>
        <v>33271.186955737321</v>
      </c>
      <c r="J46" s="233">
        <f>(G46*I46*Assumptions!$B$28)+(G45*I45*Assumptions!$B$27)+(G44*I44*Assumptions!$B$26)</f>
        <v>930527.35435915552</v>
      </c>
      <c r="K46" s="235">
        <f t="shared" ca="1" si="21"/>
        <v>8192218.4952578768</v>
      </c>
      <c r="L46" s="233">
        <f t="shared" ca="1" si="22"/>
        <v>219059.92256319567</v>
      </c>
      <c r="M46" s="234">
        <f t="shared" ca="1" si="23"/>
        <v>0</v>
      </c>
      <c r="N46" s="252">
        <f t="shared" ca="1" si="27"/>
        <v>8411278.417821072</v>
      </c>
      <c r="P46" s="44"/>
    </row>
    <row r="47" spans="1:16">
      <c r="A47" s="105"/>
      <c r="B47" s="212">
        <f t="shared" si="20"/>
        <v>2036</v>
      </c>
      <c r="C47" s="232">
        <f t="shared" ca="1" si="25"/>
        <v>8411278.417821072</v>
      </c>
      <c r="D47" s="278">
        <v>0</v>
      </c>
      <c r="E47" s="278">
        <v>0</v>
      </c>
      <c r="F47" s="233">
        <f ca="1">OFFSET($L$24,0,B47-Assumptions!$B$3)</f>
        <v>2217566.0675451783</v>
      </c>
      <c r="G47" s="214">
        <f>'Cost Recovery Timing'!R25</f>
        <v>28.58</v>
      </c>
      <c r="H47" s="215">
        <f>Assumptions!$B$23</f>
        <v>0.02</v>
      </c>
      <c r="I47" s="233">
        <f t="shared" si="26"/>
        <v>33936.610694852068</v>
      </c>
      <c r="J47" s="233">
        <f>(G47*I47*Assumptions!$B$28)+(G46*I46*Assumptions!$B$27)+(G45*I45*Assumptions!$B$26)</f>
        <v>949137.90144633874</v>
      </c>
      <c r="K47" s="235">
        <f t="shared" ca="1" si="21"/>
        <v>7142850.2517222324</v>
      </c>
      <c r="L47" s="233">
        <f t="shared" ca="1" si="22"/>
        <v>190999.81573105251</v>
      </c>
      <c r="M47" s="234">
        <f t="shared" ca="1" si="23"/>
        <v>0</v>
      </c>
      <c r="N47" s="252">
        <f t="shared" ca="1" si="27"/>
        <v>7333850.0674532847</v>
      </c>
      <c r="P47" s="44"/>
    </row>
    <row r="48" spans="1:16">
      <c r="A48" s="105"/>
      <c r="B48" s="212">
        <f t="shared" si="20"/>
        <v>2037</v>
      </c>
      <c r="C48" s="232">
        <f t="shared" ca="1" si="25"/>
        <v>7333850.0674532847</v>
      </c>
      <c r="D48" s="278">
        <v>0</v>
      </c>
      <c r="E48" s="278">
        <v>0</v>
      </c>
      <c r="F48" s="233">
        <f ca="1">OFFSET($L$24,0,B48-Assumptions!$B$3)</f>
        <v>2273005.2192338076</v>
      </c>
      <c r="G48" s="214">
        <f>'Cost Recovery Timing'!R26</f>
        <v>28.58</v>
      </c>
      <c r="H48" s="215">
        <f>Assumptions!$B$23</f>
        <v>0.02</v>
      </c>
      <c r="I48" s="233">
        <f t="shared" si="26"/>
        <v>34615.342908749109</v>
      </c>
      <c r="J48" s="233">
        <f>(G48*I48*Assumptions!$B$28)+(G47*I47*Assumptions!$B$27)+(G46*I46*Assumptions!$B$26)</f>
        <v>968120.65947526554</v>
      </c>
      <c r="K48" s="235">
        <f t="shared" ca="1" si="21"/>
        <v>6028965.5076947436</v>
      </c>
      <c r="L48" s="233">
        <f t="shared" ca="1" si="22"/>
        <v>161214.53767575746</v>
      </c>
      <c r="M48" s="234">
        <f t="shared" ca="1" si="23"/>
        <v>0</v>
      </c>
      <c r="N48" s="252">
        <f t="shared" ca="1" si="27"/>
        <v>6190180.0453705015</v>
      </c>
      <c r="P48" s="44"/>
    </row>
    <row r="49" spans="1:17">
      <c r="A49" s="105"/>
      <c r="B49" s="212">
        <f t="shared" si="20"/>
        <v>2038</v>
      </c>
      <c r="C49" s="232">
        <f t="shared" ca="1" si="25"/>
        <v>6190180.0453705015</v>
      </c>
      <c r="D49" s="278">
        <v>0</v>
      </c>
      <c r="E49" s="278">
        <v>0</v>
      </c>
      <c r="F49" s="233">
        <f ca="1">OFFSET($L$24,0,B49-Assumptions!$B$3)</f>
        <v>2329830.3497146526</v>
      </c>
      <c r="G49" s="214">
        <f>'Cost Recovery Timing'!R27</f>
        <v>28.58</v>
      </c>
      <c r="H49" s="215">
        <f>Assumptions!$B$23</f>
        <v>0.02</v>
      </c>
      <c r="I49" s="233">
        <f t="shared" si="26"/>
        <v>35307.649766924093</v>
      </c>
      <c r="J49" s="233">
        <f>(G49*I49*Assumptions!$B$28)+(G48*I48*Assumptions!$B$27)+(G47*I47*Assumptions!$B$26)</f>
        <v>987483.07266477076</v>
      </c>
      <c r="K49" s="235">
        <f t="shared" ca="1" si="21"/>
        <v>4847832.7683206191</v>
      </c>
      <c r="L49" s="233">
        <f t="shared" ca="1" si="22"/>
        <v>129631.04822489337</v>
      </c>
      <c r="M49" s="234">
        <f t="shared" ca="1" si="23"/>
        <v>0</v>
      </c>
      <c r="N49" s="252">
        <f t="shared" ca="1" si="27"/>
        <v>4977463.8165455125</v>
      </c>
      <c r="P49" s="44"/>
    </row>
    <row r="50" spans="1:17">
      <c r="A50" s="105"/>
      <c r="B50" s="212">
        <f>+B49+1</f>
        <v>2039</v>
      </c>
      <c r="C50" s="232">
        <f t="shared" ca="1" si="25"/>
        <v>4977463.8165455125</v>
      </c>
      <c r="D50" s="278">
        <v>0</v>
      </c>
      <c r="E50" s="278">
        <v>0</v>
      </c>
      <c r="F50" s="233">
        <f ca="1">OFFSET($L$24,0,B50-Assumptions!$B$3)</f>
        <v>2388076.1084575187</v>
      </c>
      <c r="G50" s="214">
        <f>'Cost Recovery Timing'!R28</f>
        <v>28.58</v>
      </c>
      <c r="H50" s="215">
        <f>Assumptions!$B$23</f>
        <v>0.02</v>
      </c>
      <c r="I50" s="233">
        <f t="shared" si="26"/>
        <v>36013.802762262574</v>
      </c>
      <c r="J50" s="233">
        <f>(G50*I50*Assumptions!$B$28)+(G49*I49*Assumptions!$B$27)+(G48*I48*Assumptions!$B$26)</f>
        <v>1007232.7341180663</v>
      </c>
      <c r="K50" s="235">
        <f t="shared" ca="1" si="21"/>
        <v>3596620.4422060605</v>
      </c>
      <c r="L50" s="233">
        <f t="shared" ca="1" si="22"/>
        <v>96173.630624590063</v>
      </c>
      <c r="M50" s="234">
        <f t="shared" ca="1" si="23"/>
        <v>0</v>
      </c>
      <c r="N50" s="252">
        <f ca="1">+L50+K50+M50</f>
        <v>3692794.0728306505</v>
      </c>
      <c r="P50" s="44"/>
    </row>
    <row r="51" spans="1:17">
      <c r="A51" s="105"/>
      <c r="B51" s="212">
        <f t="shared" si="20"/>
        <v>2040</v>
      </c>
      <c r="C51" s="232">
        <f t="shared" ca="1" si="25"/>
        <v>3692794.0728306505</v>
      </c>
      <c r="D51" s="278">
        <v>0</v>
      </c>
      <c r="E51" s="278">
        <v>0</v>
      </c>
      <c r="F51" s="233">
        <f ca="1">OFFSET($L$24,0,B51-Assumptions!$B$3)</f>
        <v>2835816.399199869</v>
      </c>
      <c r="G51" s="214">
        <f>'Cost Recovery Timing'!R29</f>
        <v>28.58</v>
      </c>
      <c r="H51" s="215">
        <f>Assumptions!$B$23</f>
        <v>0.02</v>
      </c>
      <c r="I51" s="233">
        <f t="shared" si="26"/>
        <v>36734.078817507827</v>
      </c>
      <c r="J51" s="233">
        <f>(G51*I51*Assumptions!$B$28)+(G50*I50*Assumptions!$B$27)+(G49*I49*Assumptions!$B$26)</f>
        <v>1027377.3888004276</v>
      </c>
      <c r="K51" s="235">
        <f t="shared" ca="1" si="21"/>
        <v>1884355.0624312093</v>
      </c>
      <c r="L51" s="233">
        <f t="shared" ca="1" si="22"/>
        <v>50387.654369410542</v>
      </c>
      <c r="M51" s="234">
        <f t="shared" ca="1" si="23"/>
        <v>0</v>
      </c>
      <c r="N51" s="252">
        <f t="shared" ref="N51" ca="1" si="28">+L51+K51+M51</f>
        <v>1934742.7168006198</v>
      </c>
      <c r="P51" s="44"/>
    </row>
    <row r="52" spans="1:17">
      <c r="A52" s="105"/>
      <c r="B52" s="212">
        <f>+B51+1</f>
        <v>2041</v>
      </c>
      <c r="C52" s="232">
        <f t="shared" ca="1" si="25"/>
        <v>1934742.7168006198</v>
      </c>
      <c r="D52" s="278">
        <v>0</v>
      </c>
      <c r="E52" s="278">
        <v>0</v>
      </c>
      <c r="F52" s="233">
        <f ca="1">OFFSET($L$24,0,B52-Assumptions!$B$3)</f>
        <v>2906711.8091798658</v>
      </c>
      <c r="G52" s="214">
        <f>'Cost Recovery Timing'!R30</f>
        <v>28.58</v>
      </c>
      <c r="H52" s="215">
        <f>Assumptions!$B$23</f>
        <v>0.02</v>
      </c>
      <c r="I52" s="233">
        <f t="shared" si="26"/>
        <v>37468.760393857985</v>
      </c>
      <c r="J52" s="233">
        <f>(G52*I52*Assumptions!$B$28)+(G51*I51*Assumptions!$B$27)+(G50*I50*Assumptions!$B$26)</f>
        <v>1047924.9365764363</v>
      </c>
      <c r="K52" s="235">
        <f t="shared" ca="1" si="21"/>
        <v>75955.844197190367</v>
      </c>
      <c r="L52" s="233">
        <f t="shared" ca="1" si="22"/>
        <v>2031.0592738328708</v>
      </c>
      <c r="M52" s="234">
        <f t="shared" ca="1" si="23"/>
        <v>0</v>
      </c>
      <c r="N52" s="252">
        <f ca="1">+L52+K52+M52</f>
        <v>77986.903471023237</v>
      </c>
      <c r="P52" s="44"/>
    </row>
    <row r="53" spans="1:17">
      <c r="A53" s="105"/>
      <c r="B53" s="212">
        <f>+B52+1</f>
        <v>2042</v>
      </c>
      <c r="C53" s="232">
        <f t="shared" ca="1" si="25"/>
        <v>77986.903471023237</v>
      </c>
      <c r="D53" s="278">
        <v>0</v>
      </c>
      <c r="E53" s="278">
        <v>0</v>
      </c>
      <c r="F53" s="233">
        <f ca="1">OFFSET($L$24,0,B53-Assumptions!$B$3)</f>
        <v>2626350.853656495</v>
      </c>
      <c r="G53" s="214">
        <f>'Cost Recovery Timing'!R31</f>
        <v>28.58</v>
      </c>
      <c r="H53" s="215">
        <f>Assumptions!$B$23</f>
        <v>0.02</v>
      </c>
      <c r="I53" s="233">
        <f t="shared" si="26"/>
        <v>38218.135601735143</v>
      </c>
      <c r="J53" s="233">
        <f>(G53*I53*Assumptions!$B$28)+(G52*I52*Assumptions!$B$27)+(G51*I51*Assumptions!$B$26)</f>
        <v>1068883.4353079649</v>
      </c>
      <c r="K53" s="235">
        <f t="shared" ca="1" si="21"/>
        <v>-1479480.5148775068</v>
      </c>
      <c r="L53" s="233">
        <f t="shared" ca="1" si="22"/>
        <v>0</v>
      </c>
      <c r="M53" s="234">
        <f t="shared" ca="1" si="23"/>
        <v>-66517.443948892702</v>
      </c>
      <c r="N53" s="252">
        <f ca="1">+L53+K53+M53</f>
        <v>-1545997.9588263994</v>
      </c>
      <c r="P53" s="44"/>
    </row>
    <row r="54" spans="1:17">
      <c r="A54" s="105"/>
      <c r="B54" s="212">
        <f t="shared" si="20"/>
        <v>2043</v>
      </c>
      <c r="C54" s="232">
        <f t="shared" ca="1" si="25"/>
        <v>-1545997.9588263994</v>
      </c>
      <c r="D54" s="278">
        <v>0</v>
      </c>
      <c r="E54" s="278">
        <v>0</v>
      </c>
      <c r="F54" s="233">
        <f ca="1">OFFSET($L$24,0,B54-Assumptions!$B$3)</f>
        <v>2635989.1923089935</v>
      </c>
      <c r="G54" s="214">
        <f>'Cost Recovery Timing'!R32</f>
        <v>28.58</v>
      </c>
      <c r="H54" s="215">
        <f>Assumptions!$B$23</f>
        <v>0.02</v>
      </c>
      <c r="I54" s="233">
        <f t="shared" si="26"/>
        <v>38982.498313769844</v>
      </c>
      <c r="J54" s="233">
        <f>(G54*I54*Assumptions!$B$28)+(G53*I53*Assumptions!$B$27)+(G52*I52*Assumptions!$B$26)</f>
        <v>1090261.1040141243</v>
      </c>
      <c r="K54" s="235">
        <f t="shared" ca="1" si="21"/>
        <v>-3091726.0471212687</v>
      </c>
      <c r="L54" s="233">
        <f t="shared" ca="1" si="22"/>
        <v>0</v>
      </c>
      <c r="M54" s="234">
        <f t="shared" ca="1" si="23"/>
        <v>-139004.00307857225</v>
      </c>
      <c r="N54" s="252">
        <f t="shared" ref="N54:N71" ca="1" si="29">+L54+K54+M54</f>
        <v>-3230730.0501998411</v>
      </c>
      <c r="P54" s="44"/>
    </row>
    <row r="55" spans="1:17">
      <c r="A55" s="105"/>
      <c r="B55" s="212">
        <f>+B54+1</f>
        <v>2044</v>
      </c>
      <c r="C55" s="232">
        <f t="shared" ca="1" si="25"/>
        <v>-3230730.0501998411</v>
      </c>
      <c r="D55" s="278">
        <v>0</v>
      </c>
      <c r="E55" s="278">
        <v>0</v>
      </c>
      <c r="F55" s="233">
        <f ca="1">OFFSET($L$24,0,B55-Assumptions!$B$3)</f>
        <v>2701888.9221167183</v>
      </c>
      <c r="G55" s="214">
        <f>'Cost Recovery Timing'!R33</f>
        <v>28.58</v>
      </c>
      <c r="H55" s="215">
        <f>Assumptions!$B$23</f>
        <v>0.02</v>
      </c>
      <c r="I55" s="233">
        <f t="shared" si="26"/>
        <v>39762.148280045243</v>
      </c>
      <c r="J55" s="233">
        <f>(G55*I55*Assumptions!$B$28)+(G54*I54*Assumptions!$B$27)+(G53*I53*Assumptions!$B$26)</f>
        <v>1112066.3260944067</v>
      </c>
      <c r="K55" s="235">
        <f t="shared" ca="1" si="21"/>
        <v>-4820552.6462221527</v>
      </c>
      <c r="L55" s="233">
        <f t="shared" ca="1" si="22"/>
        <v>0</v>
      </c>
      <c r="M55" s="234">
        <f t="shared" ca="1" si="23"/>
        <v>-216732.04697414799</v>
      </c>
      <c r="N55" s="252">
        <f t="shared" ca="1" si="29"/>
        <v>-5037284.6931963004</v>
      </c>
      <c r="P55" s="44"/>
    </row>
    <row r="56" spans="1:17">
      <c r="A56" s="105"/>
      <c r="B56" s="212">
        <f t="shared" si="20"/>
        <v>2045</v>
      </c>
      <c r="C56" s="232">
        <f t="shared" ca="1" si="25"/>
        <v>-5037284.6931963004</v>
      </c>
      <c r="D56" s="278">
        <v>0</v>
      </c>
      <c r="E56" s="278">
        <v>0</v>
      </c>
      <c r="F56" s="233">
        <f ca="1">OFFSET($L$24,0,B56-Assumptions!$B$3)</f>
        <v>2769436.1451696358</v>
      </c>
      <c r="G56" s="214">
        <f>'Cost Recovery Timing'!R34</f>
        <v>28.58</v>
      </c>
      <c r="H56" s="215">
        <f>Assumptions!$B$23</f>
        <v>0.02</v>
      </c>
      <c r="I56" s="233">
        <f t="shared" si="26"/>
        <v>40557.391245646148</v>
      </c>
      <c r="J56" s="233">
        <f>(G56*I56*Assumptions!$B$28)+(G55*I55*Assumptions!$B$27)+(G54*I54*Assumptions!$B$26)</f>
        <v>1134307.6526162948</v>
      </c>
      <c r="K56" s="235">
        <f t="shared" ca="1" si="21"/>
        <v>-6672413.1857496407</v>
      </c>
      <c r="L56" s="233">
        <f t="shared" ca="1" si="22"/>
        <v>0</v>
      </c>
      <c r="M56" s="234">
        <f t="shared" ca="1" si="23"/>
        <v>-299991.69683130382</v>
      </c>
      <c r="N56" s="252">
        <f t="shared" ca="1" si="29"/>
        <v>-6972404.8825809443</v>
      </c>
      <c r="P56" s="44"/>
    </row>
    <row r="57" spans="1:17">
      <c r="A57" s="105"/>
      <c r="B57" s="212">
        <f t="shared" si="20"/>
        <v>2046</v>
      </c>
      <c r="C57" s="232">
        <f t="shared" ca="1" si="25"/>
        <v>-6972404.8825809443</v>
      </c>
      <c r="D57" s="278">
        <v>0</v>
      </c>
      <c r="E57" s="278">
        <v>0</v>
      </c>
      <c r="F57" s="233">
        <f ca="1">OFFSET($L$24,0,B57-Assumptions!$B$3)</f>
        <v>0</v>
      </c>
      <c r="G57" s="214">
        <f>'Cost Recovery Timing'!R35</f>
        <v>28.58</v>
      </c>
      <c r="H57" s="215">
        <f>Assumptions!$B$23</f>
        <v>0.02</v>
      </c>
      <c r="I57" s="233">
        <f t="shared" si="26"/>
        <v>41368.539070559069</v>
      </c>
      <c r="J57" s="233">
        <f>(G57*I57*Assumptions!$B$28)+(G56*I56*Assumptions!$B$27)+(G55*I55*Assumptions!$B$26)</f>
        <v>1156993.8056686206</v>
      </c>
      <c r="K57" s="235">
        <f t="shared" ca="1" si="21"/>
        <v>-5815411.0769123239</v>
      </c>
      <c r="L57" s="233">
        <f t="shared" ca="1" si="22"/>
        <v>0</v>
      </c>
      <c r="M57" s="234">
        <f t="shared" ca="1" si="23"/>
        <v>-261460.88201797809</v>
      </c>
      <c r="N57" s="252">
        <f t="shared" ca="1" si="29"/>
        <v>-6076871.9589303024</v>
      </c>
      <c r="P57" s="44"/>
    </row>
    <row r="58" spans="1:17">
      <c r="A58" s="105"/>
      <c r="B58" s="212">
        <f t="shared" si="20"/>
        <v>2047</v>
      </c>
      <c r="C58" s="232">
        <f t="shared" ca="1" si="25"/>
        <v>-6076871.9589303024</v>
      </c>
      <c r="D58" s="278">
        <v>0</v>
      </c>
      <c r="E58" s="278">
        <v>0</v>
      </c>
      <c r="F58" s="233">
        <f ca="1">OFFSET($L$24,0,B58-Assumptions!$B$3)</f>
        <v>0</v>
      </c>
      <c r="G58" s="214">
        <f>'Cost Recovery Timing'!R36</f>
        <v>28.58</v>
      </c>
      <c r="H58" s="215">
        <f>Assumptions!$B$23</f>
        <v>0.02</v>
      </c>
      <c r="I58" s="233">
        <f t="shared" si="26"/>
        <v>42195.909851970253</v>
      </c>
      <c r="J58" s="233">
        <f>(G58*I58*Assumptions!$B$28)+(G57*I57*Assumptions!$B$27)+(G56*I56*Assumptions!$B$26)</f>
        <v>1180133.6817819932</v>
      </c>
      <c r="K58" s="235">
        <f t="shared" ca="1" si="21"/>
        <v>-4896738.2771483092</v>
      </c>
      <c r="L58" s="233">
        <f t="shared" ca="1" si="22"/>
        <v>0</v>
      </c>
      <c r="M58" s="234">
        <f t="shared" ca="1" si="23"/>
        <v>-220157.35294058797</v>
      </c>
      <c r="N58" s="252">
        <f t="shared" ca="1" si="29"/>
        <v>-5116895.6300888974</v>
      </c>
      <c r="P58" s="44"/>
    </row>
    <row r="59" spans="1:17">
      <c r="A59" s="105"/>
      <c r="B59" s="212">
        <f t="shared" si="20"/>
        <v>2048</v>
      </c>
      <c r="C59" s="232">
        <f t="shared" ca="1" si="25"/>
        <v>-5116895.6300888974</v>
      </c>
      <c r="D59" s="278">
        <v>0</v>
      </c>
      <c r="E59" s="278">
        <v>0</v>
      </c>
      <c r="F59" s="233">
        <f ca="1">OFFSET($L$24,0,B59-Assumptions!$B$3)</f>
        <v>0</v>
      </c>
      <c r="G59" s="214">
        <f>'Cost Recovery Timing'!R37</f>
        <v>28.58</v>
      </c>
      <c r="H59" s="215">
        <f>Assumptions!$B$23</f>
        <v>0.02</v>
      </c>
      <c r="I59" s="233">
        <f t="shared" si="26"/>
        <v>43039.828049009659</v>
      </c>
      <c r="J59" s="233">
        <f>(G59*I59*Assumptions!$B$28)+(G58*I58*Assumptions!$B$27)+(G57*I57*Assumptions!$B$26)</f>
        <v>1203736.355417633</v>
      </c>
      <c r="K59" s="235">
        <f t="shared" ca="1" si="21"/>
        <v>-3913159.2746712645</v>
      </c>
      <c r="L59" s="233">
        <f t="shared" ca="1" si="22"/>
        <v>0</v>
      </c>
      <c r="M59" s="234">
        <f t="shared" ca="1" si="23"/>
        <v>-175935.64098922006</v>
      </c>
      <c r="N59" s="252">
        <f t="shared" ca="1" si="29"/>
        <v>-4089094.9156604847</v>
      </c>
      <c r="P59" s="44"/>
    </row>
    <row r="60" spans="1:17">
      <c r="A60" s="105"/>
      <c r="B60" s="212">
        <f t="shared" si="20"/>
        <v>2049</v>
      </c>
      <c r="C60" s="232">
        <f t="shared" ca="1" si="25"/>
        <v>-4089094.9156604847</v>
      </c>
      <c r="D60" s="278">
        <v>0</v>
      </c>
      <c r="E60" s="278">
        <v>0</v>
      </c>
      <c r="F60" s="233">
        <f ca="1">OFFSET($L$24,0,B60-Assumptions!$B$3)</f>
        <v>0</v>
      </c>
      <c r="G60" s="214">
        <f>'Cost Recovery Timing'!R38</f>
        <v>28.58</v>
      </c>
      <c r="H60" s="215">
        <f>Assumptions!$B$23</f>
        <v>0.02</v>
      </c>
      <c r="I60" s="233">
        <f t="shared" si="26"/>
        <v>43900.624609989849</v>
      </c>
      <c r="J60" s="233">
        <f>(G60*I60*Assumptions!$B$28)+(G59*I59*Assumptions!$B$27)+(G58*I58*Assumptions!$B$26)</f>
        <v>1227811.0825259858</v>
      </c>
      <c r="K60" s="235">
        <f t="shared" ca="1" si="21"/>
        <v>-2861283.8331344989</v>
      </c>
      <c r="L60" s="233">
        <f t="shared" ca="1" si="22"/>
        <v>0</v>
      </c>
      <c r="M60" s="234">
        <f t="shared" ca="1" si="23"/>
        <v>-128643.32113772708</v>
      </c>
      <c r="N60" s="252">
        <f t="shared" ca="1" si="29"/>
        <v>-2989927.1542722262</v>
      </c>
      <c r="P60" s="44"/>
    </row>
    <row r="61" spans="1:17">
      <c r="B61" s="212">
        <f t="shared" si="20"/>
        <v>2050</v>
      </c>
      <c r="C61" s="278">
        <f t="shared" ca="1" si="25"/>
        <v>-2989927.1542722262</v>
      </c>
      <c r="D61" s="278">
        <v>0</v>
      </c>
      <c r="E61" s="278">
        <v>0</v>
      </c>
      <c r="F61" s="278">
        <f ca="1">OFFSET($L$24,0,B61-Assumptions!$B$3)</f>
        <v>0</v>
      </c>
      <c r="G61" s="219">
        <f>'Cost Recovery Timing'!R39</f>
        <v>28.58</v>
      </c>
      <c r="H61" s="215">
        <f>Assumptions!$B$23</f>
        <v>0.02</v>
      </c>
      <c r="I61" s="233">
        <f t="shared" si="26"/>
        <v>44778.637102189648</v>
      </c>
      <c r="J61" s="235">
        <f>(G61*I61*Assumptions!$B$28)+(G60*I60*Assumptions!$B$27)+(G59*I59*Assumptions!$B$26)</f>
        <v>1252367.3041765054</v>
      </c>
      <c r="K61" s="235">
        <f t="shared" ca="1" si="21"/>
        <v>-1737559.8500957207</v>
      </c>
      <c r="L61" s="235">
        <f t="shared" ca="1" si="22"/>
        <v>0</v>
      </c>
      <c r="M61" s="234">
        <f t="shared" ca="1" si="23"/>
        <v>-78120.690860303599</v>
      </c>
      <c r="N61" s="252">
        <f t="shared" ca="1" si="29"/>
        <v>-1815680.5409560243</v>
      </c>
    </row>
    <row r="62" spans="1:17" ht="14.25" customHeight="1">
      <c r="A62" s="220" t="s">
        <v>159</v>
      </c>
      <c r="B62" s="265">
        <f t="shared" si="20"/>
        <v>2051</v>
      </c>
      <c r="C62" s="268">
        <f t="shared" ca="1" si="25"/>
        <v>-1815680.5409560243</v>
      </c>
      <c r="D62" s="268">
        <v>0</v>
      </c>
      <c r="E62" s="268">
        <v>0</v>
      </c>
      <c r="F62" s="269">
        <f ca="1">OFFSET($L$24,0,B62-Assumptions!$B$3)</f>
        <v>0</v>
      </c>
      <c r="G62" s="221">
        <f>'Cost Recovery Timing'!R40</f>
        <v>10.104000000000042</v>
      </c>
      <c r="H62" s="222">
        <f>Assumptions!$B$23</f>
        <v>0.02</v>
      </c>
      <c r="I62" s="269">
        <f t="shared" si="26"/>
        <v>45674.209844233439</v>
      </c>
      <c r="J62" s="269">
        <f>(G62*I62*Assumptions!$B$28)+(G61*I61*Assumptions!$B$27)+(G60*I60*Assumptions!$B$26)</f>
        <v>1024251.639935419</v>
      </c>
      <c r="K62" s="269">
        <f t="shared" ca="1" si="21"/>
        <v>-791428.90102060535</v>
      </c>
      <c r="L62" s="269">
        <f t="shared" ca="1" si="22"/>
        <v>0</v>
      </c>
      <c r="M62" s="272">
        <f t="shared" ca="1" si="23"/>
        <v>-35582.64338988642</v>
      </c>
      <c r="N62" s="273">
        <f t="shared" ca="1" si="29"/>
        <v>-827011.54441049183</v>
      </c>
      <c r="O62" s="693" t="s">
        <v>279</v>
      </c>
      <c r="P62" s="694"/>
      <c r="Q62" s="694"/>
    </row>
    <row r="63" spans="1:17" ht="15" customHeight="1">
      <c r="B63" s="212">
        <f t="shared" si="20"/>
        <v>2052</v>
      </c>
      <c r="C63" s="232">
        <f t="shared" ca="1" si="25"/>
        <v>-827011.54441049183</v>
      </c>
      <c r="D63" s="278">
        <v>0</v>
      </c>
      <c r="E63" s="278">
        <v>0</v>
      </c>
      <c r="F63" s="233">
        <f ca="1">OFFSET($L$24,0,B63-Assumptions!$B$3)</f>
        <v>0</v>
      </c>
      <c r="G63" s="214">
        <f>'Cost Recovery Timing'!R41</f>
        <v>0</v>
      </c>
      <c r="H63" s="215">
        <f>Assumptions!$B$23</f>
        <v>0.02</v>
      </c>
      <c r="I63" s="233">
        <f t="shared" si="26"/>
        <v>0</v>
      </c>
      <c r="J63" s="233">
        <f>(G63*I63*Assumptions!$B$28)+(G62*I62*Assumptions!$B$27)+(G61*I61*Assumptions!$B$26)</f>
        <v>650357.04423207301</v>
      </c>
      <c r="K63" s="235">
        <f t="shared" ca="1" si="21"/>
        <v>-176654.50017841882</v>
      </c>
      <c r="L63" s="233">
        <f t="shared" ca="1" si="22"/>
        <v>0</v>
      </c>
      <c r="M63" s="234">
        <f t="shared" ca="1" si="23"/>
        <v>-7942.3863280217101</v>
      </c>
      <c r="N63" s="555">
        <f t="shared" ca="1" si="29"/>
        <v>-184596.88650644053</v>
      </c>
      <c r="O63" s="693"/>
      <c r="P63" s="694"/>
      <c r="Q63" s="694"/>
    </row>
    <row r="64" spans="1:17">
      <c r="B64" s="212">
        <f t="shared" si="20"/>
        <v>2053</v>
      </c>
      <c r="C64" s="232">
        <f t="shared" ca="1" si="25"/>
        <v>-184596.88650644053</v>
      </c>
      <c r="D64" s="278">
        <v>0</v>
      </c>
      <c r="E64" s="278">
        <v>0</v>
      </c>
      <c r="F64" s="233">
        <f ca="1">OFFSET($L$24,0,B64-Assumptions!$B$3)</f>
        <v>0</v>
      </c>
      <c r="G64" s="214">
        <f>'Cost Recovery Timing'!R42</f>
        <v>0</v>
      </c>
      <c r="H64" s="215">
        <f>Assumptions!$B$23</f>
        <v>0.02</v>
      </c>
      <c r="I64" s="233">
        <f t="shared" si="26"/>
        <v>0</v>
      </c>
      <c r="J64" s="233">
        <f>(G64*I64*Assumptions!$B$28)+(G63*I63*Assumptions!$B$27)+(G62*I62*Assumptions!$B$26)</f>
        <v>184596.88650645464</v>
      </c>
      <c r="K64" s="235">
        <f t="shared" ca="1" si="21"/>
        <v>1.4115357771515846E-8</v>
      </c>
      <c r="L64" s="235">
        <f t="shared" ref="L64:L71" ca="1" si="30">IF(K64&lt;0,0,+K64*$L$32)</f>
        <v>3.7744466681033377E-10</v>
      </c>
      <c r="M64" s="234">
        <f t="shared" ref="M64:M71" ca="1" si="31">IF(K64&lt;0,+K64*$M$32,0)</f>
        <v>0</v>
      </c>
      <c r="N64" s="555">
        <f t="shared" ca="1" si="29"/>
        <v>1.4492802438326181E-8</v>
      </c>
      <c r="O64" s="693"/>
      <c r="P64" s="694"/>
      <c r="Q64" s="694"/>
    </row>
    <row r="65" spans="2:14">
      <c r="B65" s="212">
        <f t="shared" si="20"/>
        <v>2054</v>
      </c>
      <c r="C65" s="232">
        <f t="shared" ca="1" si="25"/>
        <v>1.4492802438326181E-8</v>
      </c>
      <c r="D65" s="278">
        <v>0</v>
      </c>
      <c r="E65" s="278">
        <v>0</v>
      </c>
      <c r="F65" s="233">
        <f ca="1">OFFSET($L$24,0,B65-Assumptions!$B$3)</f>
        <v>0</v>
      </c>
      <c r="G65" s="214">
        <f>'Cost Recovery Timing'!R43</f>
        <v>0</v>
      </c>
      <c r="H65" s="215">
        <f>Assumptions!$B$23</f>
        <v>0.02</v>
      </c>
      <c r="I65" s="233">
        <f t="shared" si="26"/>
        <v>0</v>
      </c>
      <c r="J65" s="233">
        <f>(G65*I65*Assumptions!$B$28)+(G64*I64*Assumptions!$B$27)+(G63*I63*Assumptions!$B$26)</f>
        <v>0</v>
      </c>
      <c r="K65" s="235">
        <f t="shared" ca="1" si="21"/>
        <v>1.4492802438326181E-8</v>
      </c>
      <c r="L65" s="235">
        <f t="shared" ca="1" si="30"/>
        <v>3.875375372008421E-10</v>
      </c>
      <c r="M65" s="234">
        <f t="shared" ca="1" si="31"/>
        <v>0</v>
      </c>
      <c r="N65" s="252">
        <f t="shared" ca="1" si="29"/>
        <v>1.4880339975527022E-8</v>
      </c>
    </row>
    <row r="66" spans="2:14">
      <c r="B66" s="212">
        <f t="shared" si="20"/>
        <v>2055</v>
      </c>
      <c r="C66" s="232">
        <f t="shared" ca="1" si="25"/>
        <v>1.4880339975527022E-8</v>
      </c>
      <c r="D66" s="278">
        <v>0</v>
      </c>
      <c r="E66" s="278">
        <v>0</v>
      </c>
      <c r="F66" s="233">
        <f ca="1">OFFSET($L$24,0,B66-Assumptions!$B$3)</f>
        <v>0</v>
      </c>
      <c r="G66" s="214">
        <f>'Cost Recovery Timing'!R44</f>
        <v>0</v>
      </c>
      <c r="H66" s="215">
        <f>Assumptions!$B$23</f>
        <v>0.02</v>
      </c>
      <c r="I66" s="233">
        <f t="shared" si="26"/>
        <v>0</v>
      </c>
      <c r="J66" s="233">
        <f>(G66*I66*Assumptions!$B$28)+(G65*I65*Assumptions!$B$27)+(G64*I64*Assumptions!$B$26)</f>
        <v>0</v>
      </c>
      <c r="K66" s="235">
        <f t="shared" ca="1" si="21"/>
        <v>1.4880339975527022E-8</v>
      </c>
      <c r="L66" s="235">
        <f t="shared" ca="1" si="30"/>
        <v>3.9790029094559259E-10</v>
      </c>
      <c r="M66" s="234">
        <f t="shared" ca="1" si="31"/>
        <v>0</v>
      </c>
      <c r="N66" s="252">
        <f t="shared" ca="1" si="29"/>
        <v>1.5278240266472615E-8</v>
      </c>
    </row>
    <row r="67" spans="2:14">
      <c r="B67" s="212">
        <f t="shared" si="20"/>
        <v>2056</v>
      </c>
      <c r="C67" s="232">
        <f t="shared" ca="1" si="25"/>
        <v>1.5278240266472615E-8</v>
      </c>
      <c r="D67" s="278">
        <v>0</v>
      </c>
      <c r="E67" s="278">
        <v>0</v>
      </c>
      <c r="F67" s="233">
        <f ca="1">OFFSET($L$24,0,B67-Assumptions!$B$3)</f>
        <v>0</v>
      </c>
      <c r="G67" s="214">
        <f>'Cost Recovery Timing'!R45</f>
        <v>0</v>
      </c>
      <c r="H67" s="215">
        <f>Assumptions!$B$23</f>
        <v>0.02</v>
      </c>
      <c r="I67" s="233">
        <f t="shared" si="26"/>
        <v>0</v>
      </c>
      <c r="J67" s="233">
        <f>(G67*I67*Assumptions!$B$28)+(G66*I66*Assumptions!$B$27)+(G65*I65*Assumptions!$B$26)</f>
        <v>0</v>
      </c>
      <c r="K67" s="235">
        <f t="shared" ca="1" si="21"/>
        <v>1.5278240266472615E-8</v>
      </c>
      <c r="L67" s="235">
        <f t="shared" ca="1" si="30"/>
        <v>4.0854014472547777E-10</v>
      </c>
      <c r="M67" s="234">
        <f t="shared" ca="1" si="31"/>
        <v>0</v>
      </c>
      <c r="N67" s="252">
        <f t="shared" ca="1" si="29"/>
        <v>1.5686780411198093E-8</v>
      </c>
    </row>
    <row r="68" spans="2:14">
      <c r="B68" s="212">
        <f t="shared" si="20"/>
        <v>2057</v>
      </c>
      <c r="C68" s="232">
        <f t="shared" ca="1" si="25"/>
        <v>1.5686780411198093E-8</v>
      </c>
      <c r="D68" s="278">
        <v>0</v>
      </c>
      <c r="E68" s="278">
        <v>0</v>
      </c>
      <c r="F68" s="233">
        <f ca="1">OFFSET($L$24,0,B68-Assumptions!$B$3)</f>
        <v>0</v>
      </c>
      <c r="G68" s="214">
        <f>'Cost Recovery Timing'!R46</f>
        <v>0</v>
      </c>
      <c r="H68" s="215">
        <f>Assumptions!$B$23</f>
        <v>0.02</v>
      </c>
      <c r="I68" s="233">
        <f t="shared" si="26"/>
        <v>0</v>
      </c>
      <c r="J68" s="233">
        <f>(G68*I68*Assumptions!$B$28)+(G67*I67*Assumptions!$B$27)+(G66*I66*Assumptions!$B$26)</f>
        <v>0</v>
      </c>
      <c r="K68" s="235">
        <f t="shared" ca="1" si="21"/>
        <v>1.5686780411198093E-8</v>
      </c>
      <c r="L68" s="235">
        <f t="shared" ca="1" si="30"/>
        <v>4.1946450819543704E-10</v>
      </c>
      <c r="M68" s="234">
        <f t="shared" ca="1" si="31"/>
        <v>0</v>
      </c>
      <c r="N68" s="252">
        <f t="shared" ca="1" si="29"/>
        <v>1.610624491939353E-8</v>
      </c>
    </row>
    <row r="69" spans="2:14">
      <c r="B69" s="212">
        <f t="shared" si="20"/>
        <v>2058</v>
      </c>
      <c r="C69" s="232">
        <f t="shared" ca="1" si="25"/>
        <v>1.610624491939353E-8</v>
      </c>
      <c r="D69" s="278">
        <v>0</v>
      </c>
      <c r="E69" s="278">
        <v>0</v>
      </c>
      <c r="F69" s="233">
        <f ca="1">OFFSET($L$24,0,B69-Assumptions!$B$3)</f>
        <v>0</v>
      </c>
      <c r="G69" s="214">
        <f>'Cost Recovery Timing'!R47</f>
        <v>0</v>
      </c>
      <c r="H69" s="215">
        <f>Assumptions!$B$23</f>
        <v>0.02</v>
      </c>
      <c r="I69" s="233">
        <f t="shared" si="26"/>
        <v>0</v>
      </c>
      <c r="J69" s="233">
        <f>(G69*I69*Assumptions!$B$28)+(G68*I68*Assumptions!$B$27)+(G67*I67*Assumptions!$B$26)</f>
        <v>0</v>
      </c>
      <c r="K69" s="235">
        <f t="shared" ca="1" si="21"/>
        <v>1.610624491939353E-8</v>
      </c>
      <c r="L69" s="235">
        <f t="shared" ca="1" si="30"/>
        <v>4.3068098914458303E-10</v>
      </c>
      <c r="M69" s="234">
        <f t="shared" ca="1" si="31"/>
        <v>0</v>
      </c>
      <c r="N69" s="252">
        <f t="shared" ca="1" si="29"/>
        <v>1.6536925908538114E-8</v>
      </c>
    </row>
    <row r="70" spans="2:14">
      <c r="B70" s="212">
        <f t="shared" si="20"/>
        <v>2059</v>
      </c>
      <c r="C70" s="232">
        <f t="shared" ca="1" si="25"/>
        <v>1.6536925908538114E-8</v>
      </c>
      <c r="D70" s="278">
        <v>0</v>
      </c>
      <c r="E70" s="278">
        <v>0</v>
      </c>
      <c r="F70" s="233">
        <f ca="1">OFFSET($L$24,0,B70-Assumptions!$B$3)</f>
        <v>0</v>
      </c>
      <c r="G70" s="214">
        <f>'Cost Recovery Timing'!R48</f>
        <v>0</v>
      </c>
      <c r="H70" s="215">
        <f>Assumptions!$B$23</f>
        <v>0.02</v>
      </c>
      <c r="I70" s="233">
        <f t="shared" si="26"/>
        <v>0</v>
      </c>
      <c r="J70" s="233">
        <f>(G70*I70*Assumptions!$B$28)+(G69*I69*Assumptions!$B$27)+(G68*I68*Assumptions!$B$26)</f>
        <v>0</v>
      </c>
      <c r="K70" s="235">
        <f t="shared" ca="1" si="21"/>
        <v>1.6536925908538114E-8</v>
      </c>
      <c r="L70" s="235">
        <f t="shared" ca="1" si="30"/>
        <v>4.4219739879430922E-10</v>
      </c>
      <c r="M70" s="234">
        <f t="shared" ca="1" si="31"/>
        <v>0</v>
      </c>
      <c r="N70" s="252">
        <f t="shared" ca="1" si="29"/>
        <v>1.6979123307332424E-8</v>
      </c>
    </row>
    <row r="71" spans="2:14" ht="15" thickBot="1">
      <c r="B71" s="213">
        <f t="shared" si="20"/>
        <v>2060</v>
      </c>
      <c r="C71" s="236">
        <f t="shared" ca="1" si="25"/>
        <v>1.6979123307332424E-8</v>
      </c>
      <c r="D71" s="635">
        <v>0</v>
      </c>
      <c r="E71" s="635">
        <v>0</v>
      </c>
      <c r="F71" s="250">
        <f ca="1">OFFSET($L$24,0,B71-Assumptions!$B$3)</f>
        <v>0</v>
      </c>
      <c r="G71" s="223">
        <f>'Cost Recovery Timing'!R49</f>
        <v>0</v>
      </c>
      <c r="H71" s="224">
        <f>Assumptions!$B$23</f>
        <v>0.02</v>
      </c>
      <c r="I71" s="250">
        <f t="shared" si="26"/>
        <v>0</v>
      </c>
      <c r="J71" s="250">
        <f>(G71*I71*Assumptions!$B$28)+(G70*I70*Assumptions!$B$27)+(G69*I69*Assumptions!$B$26)</f>
        <v>0</v>
      </c>
      <c r="K71" s="251">
        <f t="shared" ca="1" si="21"/>
        <v>1.6979123307332424E-8</v>
      </c>
      <c r="L71" s="251">
        <f t="shared" ca="1" si="30"/>
        <v>4.5402175723806909E-10</v>
      </c>
      <c r="M71" s="253">
        <f t="shared" ca="1" si="31"/>
        <v>0</v>
      </c>
      <c r="N71" s="254">
        <f t="shared" ca="1" si="29"/>
        <v>1.7433145064570494E-8</v>
      </c>
    </row>
    <row r="72" spans="2:14">
      <c r="B72" s="104"/>
      <c r="C72" s="106"/>
      <c r="D72" s="107"/>
      <c r="E72" s="108"/>
      <c r="F72" s="109"/>
      <c r="G72" s="107"/>
      <c r="H72" s="107"/>
      <c r="I72" s="110"/>
      <c r="J72" s="110"/>
      <c r="K72" s="111"/>
      <c r="L72" s="112"/>
    </row>
    <row r="73" spans="2:14">
      <c r="B73" s="104"/>
      <c r="C73" s="106"/>
      <c r="D73" s="107"/>
      <c r="E73" s="108"/>
      <c r="F73" s="636"/>
      <c r="G73" s="107"/>
      <c r="H73" s="107"/>
      <c r="I73" s="110"/>
      <c r="J73" s="110">
        <f>SUM(J37:J67)</f>
        <v>29627441.113762971</v>
      </c>
      <c r="K73" s="110"/>
      <c r="L73" s="110">
        <f ca="1">SUM(L37:L67)</f>
        <v>1907530.2672886399</v>
      </c>
      <c r="M73" s="110">
        <f t="shared" ref="M73" ca="1" si="32">SUM(M37:M67)</f>
        <v>-1630088.1084966417</v>
      </c>
    </row>
    <row r="74" spans="2:14">
      <c r="B74" s="104"/>
      <c r="C74" s="106"/>
      <c r="D74" s="107"/>
      <c r="E74" s="108"/>
      <c r="F74" s="109"/>
      <c r="G74" s="107"/>
      <c r="H74" s="107"/>
      <c r="I74" s="110"/>
      <c r="J74" s="110"/>
      <c r="K74" s="111"/>
      <c r="L74" s="112"/>
    </row>
    <row r="75" spans="2:14">
      <c r="B75" s="104"/>
      <c r="C75" s="106"/>
      <c r="D75" s="107"/>
      <c r="E75" s="108"/>
      <c r="F75" s="109"/>
      <c r="G75" s="107"/>
      <c r="H75" s="107"/>
      <c r="I75" s="110"/>
      <c r="J75" s="110"/>
      <c r="K75" s="111"/>
      <c r="L75" s="112"/>
    </row>
    <row r="76" spans="2:14">
      <c r="B76" s="104"/>
      <c r="C76" s="106"/>
      <c r="D76" s="107"/>
      <c r="E76" s="108"/>
      <c r="F76" s="109"/>
      <c r="G76" s="107"/>
      <c r="H76" s="107"/>
      <c r="I76" s="110"/>
      <c r="J76" s="110"/>
      <c r="K76" s="111"/>
      <c r="L76" s="112"/>
    </row>
    <row r="77" spans="2:14">
      <c r="B77" s="104"/>
      <c r="C77" s="106"/>
      <c r="D77" s="107"/>
      <c r="E77" s="108"/>
      <c r="F77" s="109"/>
      <c r="G77" s="107"/>
      <c r="H77" s="107"/>
      <c r="I77" s="110"/>
      <c r="J77" s="110"/>
      <c r="K77" s="111"/>
      <c r="L77" s="112"/>
    </row>
    <row r="78" spans="2:14">
      <c r="B78" s="104"/>
      <c r="C78" s="106"/>
      <c r="D78" s="107"/>
      <c r="E78" s="108"/>
      <c r="F78" s="109"/>
      <c r="G78" s="107"/>
      <c r="H78" s="107"/>
      <c r="I78" s="110"/>
      <c r="J78" s="110"/>
      <c r="K78" s="111"/>
      <c r="L78" s="112"/>
    </row>
    <row r="79" spans="2:14">
      <c r="B79" s="104"/>
      <c r="C79" s="106"/>
      <c r="D79" s="107"/>
      <c r="E79" s="108"/>
      <c r="F79" s="109"/>
      <c r="G79" s="107"/>
      <c r="H79" s="107"/>
      <c r="I79" s="110"/>
      <c r="J79" s="110"/>
      <c r="K79" s="111"/>
      <c r="L79" s="112"/>
    </row>
    <row r="80" spans="2:14">
      <c r="B80" s="104"/>
      <c r="C80" s="106"/>
      <c r="D80" s="107"/>
      <c r="E80" s="108"/>
      <c r="F80" s="109"/>
      <c r="G80" s="107"/>
      <c r="H80" s="107"/>
      <c r="I80" s="110"/>
      <c r="J80" s="110"/>
      <c r="K80" s="111"/>
      <c r="L80" s="112"/>
    </row>
    <row r="81" spans="2:12">
      <c r="B81" s="104"/>
      <c r="C81" s="106"/>
      <c r="D81" s="107"/>
      <c r="E81" s="108"/>
      <c r="F81" s="109"/>
      <c r="G81" s="107"/>
      <c r="H81" s="107"/>
      <c r="I81" s="110"/>
      <c r="J81" s="110"/>
      <c r="K81" s="111"/>
      <c r="L81" s="112"/>
    </row>
    <row r="82" spans="2:12">
      <c r="B82" s="104"/>
      <c r="C82" s="106"/>
      <c r="D82" s="107"/>
      <c r="E82" s="108"/>
      <c r="F82" s="109"/>
      <c r="G82" s="107"/>
      <c r="H82" s="107"/>
      <c r="I82" s="110"/>
      <c r="J82" s="110"/>
      <c r="K82" s="111"/>
      <c r="L82" s="112"/>
    </row>
  </sheetData>
  <dataConsolidate/>
  <mergeCells count="24">
    <mergeCell ref="K8:K9"/>
    <mergeCell ref="C9:C10"/>
    <mergeCell ref="D9:D10"/>
    <mergeCell ref="E9:E10"/>
    <mergeCell ref="A8:A10"/>
    <mergeCell ref="B8:B10"/>
    <mergeCell ref="C8:E8"/>
    <mergeCell ref="F8:F9"/>
    <mergeCell ref="I8:I10"/>
    <mergeCell ref="C28:C33"/>
    <mergeCell ref="D28:D31"/>
    <mergeCell ref="E28:E30"/>
    <mergeCell ref="H28:H31"/>
    <mergeCell ref="B3:J3"/>
    <mergeCell ref="B4:J4"/>
    <mergeCell ref="B5:J5"/>
    <mergeCell ref="J8:J10"/>
    <mergeCell ref="O62:Q64"/>
    <mergeCell ref="J28:J29"/>
    <mergeCell ref="K28:K30"/>
    <mergeCell ref="L28:M28"/>
    <mergeCell ref="F28:F30"/>
    <mergeCell ref="N28:N32"/>
    <mergeCell ref="L29:M29"/>
  </mergeCells>
  <phoneticPr fontId="74" type="noConversion"/>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FAD40-CAA9-4ABF-BC25-52386E0F12BE}">
  <sheetPr codeName="Sheet61">
    <tabColor rgb="FFFFF915"/>
  </sheetPr>
  <dimension ref="A3:BU81"/>
  <sheetViews>
    <sheetView showGridLines="0" topLeftCell="B1" zoomScale="70" zoomScaleNormal="70" workbookViewId="0">
      <selection activeCell="P48" sqref="P48"/>
    </sheetView>
  </sheetViews>
  <sheetFormatPr defaultColWidth="9.109375" defaultRowHeight="14.4"/>
  <cols>
    <col min="1" max="1" width="21.88671875" customWidth="1"/>
    <col min="2" max="2" width="69.5546875" customWidth="1"/>
    <col min="3" max="3" width="16.6640625" customWidth="1"/>
    <col min="4" max="5" width="19.5546875" customWidth="1"/>
    <col min="6" max="6" width="25.44140625" customWidth="1"/>
    <col min="7" max="9" width="23.109375" style="1" customWidth="1"/>
    <col min="10" max="12" width="25.109375" customWidth="1"/>
    <col min="13" max="13" width="18.6640625" customWidth="1"/>
    <col min="14" max="14" width="20.109375" customWidth="1"/>
    <col min="15" max="15" width="21" customWidth="1"/>
    <col min="16" max="16" width="19.44140625" customWidth="1"/>
    <col min="17" max="17" width="18.21875" customWidth="1"/>
    <col min="18" max="18" width="20.109375" customWidth="1"/>
    <col min="19" max="19" width="17.88671875" customWidth="1"/>
    <col min="20" max="20" width="18.21875" customWidth="1"/>
    <col min="21" max="21" width="16.88671875" customWidth="1"/>
    <col min="22" max="22" width="20" customWidth="1"/>
    <col min="23" max="23" width="18.21875" customWidth="1"/>
    <col min="24" max="24" width="19.5546875" customWidth="1"/>
    <col min="25" max="25" width="18.6640625" customWidth="1"/>
    <col min="26" max="26" width="20" customWidth="1"/>
    <col min="27" max="27" width="17.109375" customWidth="1"/>
    <col min="28" max="28" width="16.44140625" customWidth="1"/>
    <col min="29" max="29" width="15.44140625" customWidth="1"/>
    <col min="30" max="30" width="16" customWidth="1"/>
    <col min="31" max="31" width="15.88671875" customWidth="1"/>
    <col min="32" max="34" width="18.21875" customWidth="1"/>
    <col min="35" max="35" width="17.44140625" customWidth="1"/>
    <col min="36" max="36" width="19.5546875" customWidth="1"/>
    <col min="37" max="37" width="17.44140625" customWidth="1"/>
    <col min="38" max="38" width="16.44140625" customWidth="1"/>
    <col min="39" max="73" width="18.88671875" customWidth="1"/>
    <col min="74" max="74" width="20.21875" customWidth="1"/>
    <col min="75" max="75" width="18.88671875" customWidth="1"/>
    <col min="76" max="76" width="20" customWidth="1"/>
    <col min="77" max="77" width="17.109375" customWidth="1"/>
    <col min="78" max="78" width="20.21875" customWidth="1"/>
    <col min="79" max="79" width="16.88671875" customWidth="1"/>
    <col min="80" max="80" width="16.21875" customWidth="1"/>
    <col min="81" max="81" width="21.109375" customWidth="1"/>
    <col min="82" max="82" width="19.109375" customWidth="1"/>
  </cols>
  <sheetData>
    <row r="3" spans="1:73" ht="15.6">
      <c r="B3" s="703" t="s">
        <v>99</v>
      </c>
      <c r="C3" s="703"/>
      <c r="D3" s="703"/>
      <c r="E3" s="703"/>
      <c r="F3" s="703"/>
      <c r="G3" s="703"/>
      <c r="H3" s="703"/>
      <c r="I3" s="703"/>
      <c r="J3" s="703"/>
      <c r="K3" s="16"/>
      <c r="L3" s="16"/>
      <c r="M3" s="2"/>
      <c r="N3" s="29"/>
      <c r="O3" s="30"/>
      <c r="P3" s="30"/>
      <c r="Q3" s="31"/>
      <c r="R3" s="29"/>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row>
    <row r="4" spans="1:73" ht="15.6">
      <c r="B4" s="703" t="s">
        <v>32</v>
      </c>
      <c r="C4" s="703"/>
      <c r="D4" s="703"/>
      <c r="E4" s="703"/>
      <c r="F4" s="703"/>
      <c r="G4" s="703"/>
      <c r="H4" s="703"/>
      <c r="I4" s="703"/>
      <c r="J4" s="703"/>
      <c r="K4" s="16"/>
      <c r="L4" s="16"/>
      <c r="M4" s="2"/>
      <c r="N4" s="29"/>
      <c r="O4" s="30"/>
      <c r="P4" s="30"/>
      <c r="Q4" s="31"/>
      <c r="R4" s="29"/>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row>
    <row r="5" spans="1:73" ht="15.6">
      <c r="B5" s="703" t="str">
        <f>Assumptions!B3&amp;" $s"</f>
        <v>2026 $s</v>
      </c>
      <c r="C5" s="703"/>
      <c r="D5" s="703"/>
      <c r="E5" s="703"/>
      <c r="F5" s="703"/>
      <c r="G5" s="703"/>
      <c r="H5" s="703"/>
      <c r="I5" s="703"/>
      <c r="J5" s="703"/>
      <c r="K5" s="16"/>
      <c r="L5" s="16"/>
      <c r="M5" s="2"/>
      <c r="N5" s="29"/>
      <c r="O5" s="30"/>
      <c r="P5" s="30"/>
      <c r="Q5" s="31"/>
      <c r="R5" s="29"/>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row>
    <row r="6" spans="1:73" ht="15.6" hidden="1">
      <c r="K6" s="16"/>
      <c r="L6" s="83">
        <v>1</v>
      </c>
      <c r="M6" s="84">
        <f>(1+M7)</f>
        <v>1.0249999999999999</v>
      </c>
      <c r="N6" s="84">
        <f t="shared" ref="N6:AS6" si="0">+(1+N7)*M6</f>
        <v>1.0506249999999999</v>
      </c>
      <c r="O6" s="84">
        <f t="shared" si="0"/>
        <v>1.0768906249999999</v>
      </c>
      <c r="P6" s="84">
        <f t="shared" si="0"/>
        <v>1.1038128906249998</v>
      </c>
      <c r="Q6" s="84">
        <f t="shared" si="0"/>
        <v>1.1314082128906247</v>
      </c>
      <c r="R6" s="84">
        <f t="shared" si="0"/>
        <v>1.1596934182128902</v>
      </c>
      <c r="S6" s="84">
        <f t="shared" si="0"/>
        <v>1.1886857536682123</v>
      </c>
      <c r="T6" s="84">
        <f t="shared" si="0"/>
        <v>1.2184028975099175</v>
      </c>
      <c r="U6" s="84">
        <f t="shared" si="0"/>
        <v>1.2488629699476652</v>
      </c>
      <c r="V6" s="84">
        <f t="shared" si="0"/>
        <v>1.2800845441963566</v>
      </c>
      <c r="W6" s="84">
        <f t="shared" si="0"/>
        <v>1.3120866578012655</v>
      </c>
      <c r="X6" s="84">
        <f t="shared" si="0"/>
        <v>1.3448888242462971</v>
      </c>
      <c r="Y6" s="84">
        <f t="shared" si="0"/>
        <v>1.3785110448524545</v>
      </c>
      <c r="Z6" s="84">
        <f t="shared" si="0"/>
        <v>1.4129738209737657</v>
      </c>
      <c r="AA6" s="84">
        <f t="shared" si="0"/>
        <v>1.4482981664981096</v>
      </c>
      <c r="AB6" s="84">
        <f t="shared" si="0"/>
        <v>1.4845056206605622</v>
      </c>
      <c r="AC6" s="84">
        <f t="shared" si="0"/>
        <v>1.5216182611770761</v>
      </c>
      <c r="AD6" s="84">
        <f t="shared" si="0"/>
        <v>1.5596587177065029</v>
      </c>
      <c r="AE6" s="84">
        <f t="shared" si="0"/>
        <v>1.5986501856491653</v>
      </c>
      <c r="AF6" s="84">
        <f t="shared" si="0"/>
        <v>1.6386164402903942</v>
      </c>
      <c r="AG6" s="84">
        <f t="shared" si="0"/>
        <v>1.6795818512976539</v>
      </c>
      <c r="AH6" s="84">
        <f t="shared" si="0"/>
        <v>1.721571397580095</v>
      </c>
      <c r="AI6" s="84">
        <f t="shared" si="0"/>
        <v>1.7646106825195973</v>
      </c>
      <c r="AJ6" s="84">
        <f t="shared" si="0"/>
        <v>1.8087259495825871</v>
      </c>
      <c r="AK6" s="84">
        <f t="shared" si="0"/>
        <v>1.8539440983221516</v>
      </c>
      <c r="AL6" s="84">
        <f t="shared" si="0"/>
        <v>1.9002927007802053</v>
      </c>
      <c r="AM6" s="84">
        <f t="shared" si="0"/>
        <v>1.9478000182997102</v>
      </c>
      <c r="AN6" s="84">
        <f t="shared" si="0"/>
        <v>1.9964950187572028</v>
      </c>
      <c r="AO6" s="84">
        <f t="shared" si="0"/>
        <v>2.0464073942261325</v>
      </c>
      <c r="AP6" s="84">
        <f t="shared" si="0"/>
        <v>2.0975675790817858</v>
      </c>
      <c r="AQ6" s="84">
        <f t="shared" si="0"/>
        <v>2.1500067685588302</v>
      </c>
      <c r="AR6" s="84">
        <f t="shared" si="0"/>
        <v>2.2037569377728006</v>
      </c>
      <c r="AS6" s="84">
        <f t="shared" si="0"/>
        <v>2.2588508612171205</v>
      </c>
      <c r="AT6" s="84">
        <f t="shared" ref="AT6:BS6" si="1">+(1+AT7)*AS6</f>
        <v>2.3153221327475482</v>
      </c>
      <c r="AU6" s="84">
        <f t="shared" si="1"/>
        <v>2.3732051860662366</v>
      </c>
      <c r="AV6" s="84">
        <f t="shared" si="1"/>
        <v>2.4325353157178924</v>
      </c>
      <c r="AW6" s="84">
        <f t="shared" si="1"/>
        <v>2.4933486986108395</v>
      </c>
      <c r="AX6" s="84">
        <f t="shared" si="1"/>
        <v>2.5556824160761105</v>
      </c>
      <c r="AY6" s="84">
        <f t="shared" si="1"/>
        <v>2.6195744764780131</v>
      </c>
      <c r="AZ6" s="84">
        <f t="shared" si="1"/>
        <v>2.6850638383899632</v>
      </c>
      <c r="BA6" s="84">
        <f t="shared" si="1"/>
        <v>2.7521904343497119</v>
      </c>
      <c r="BB6" s="84">
        <f t="shared" si="1"/>
        <v>2.8209951952084547</v>
      </c>
      <c r="BC6" s="84">
        <f t="shared" si="1"/>
        <v>2.8915200750886658</v>
      </c>
      <c r="BD6" s="84">
        <f t="shared" si="1"/>
        <v>2.9638080769658823</v>
      </c>
      <c r="BE6" s="84">
        <f t="shared" si="1"/>
        <v>3.0379032788900293</v>
      </c>
      <c r="BF6" s="84">
        <f t="shared" si="1"/>
        <v>3.1138508608622799</v>
      </c>
      <c r="BG6" s="84">
        <f t="shared" si="1"/>
        <v>3.1916971323838368</v>
      </c>
      <c r="BH6" s="84">
        <f t="shared" si="1"/>
        <v>3.2714895606934324</v>
      </c>
      <c r="BI6" s="84">
        <f t="shared" si="1"/>
        <v>3.353276799710768</v>
      </c>
      <c r="BJ6" s="84">
        <f t="shared" si="1"/>
        <v>3.437108719703537</v>
      </c>
      <c r="BK6" s="84">
        <f t="shared" si="1"/>
        <v>3.523036437696125</v>
      </c>
      <c r="BL6" s="84">
        <f t="shared" si="1"/>
        <v>3.6111123486385277</v>
      </c>
      <c r="BM6" s="84">
        <f t="shared" si="1"/>
        <v>3.7013901573544907</v>
      </c>
      <c r="BN6" s="84">
        <f t="shared" si="1"/>
        <v>3.7939249112883529</v>
      </c>
      <c r="BO6" s="84">
        <f t="shared" si="1"/>
        <v>3.8887730340705615</v>
      </c>
      <c r="BP6" s="84">
        <f t="shared" si="1"/>
        <v>3.9859923599223253</v>
      </c>
      <c r="BQ6" s="84">
        <f t="shared" si="1"/>
        <v>4.0856421689203835</v>
      </c>
      <c r="BR6" s="84">
        <f t="shared" si="1"/>
        <v>4.1877832231433922</v>
      </c>
      <c r="BS6" s="85">
        <f t="shared" si="1"/>
        <v>4.2924778037219768</v>
      </c>
      <c r="BT6" s="32"/>
      <c r="BU6" s="32"/>
    </row>
    <row r="7" spans="1:73" ht="15" thickBot="1">
      <c r="E7" s="3"/>
      <c r="F7" s="10"/>
      <c r="G7" s="10"/>
      <c r="H7" s="10"/>
      <c r="I7" s="4"/>
      <c r="J7" s="4"/>
      <c r="K7" s="4"/>
      <c r="L7" s="302">
        <f>Assumptions!$B$18</f>
        <v>2.5000000000000001E-2</v>
      </c>
      <c r="M7" s="302">
        <f>Assumptions!$B$18</f>
        <v>2.5000000000000001E-2</v>
      </c>
      <c r="N7" s="302">
        <f>Assumptions!$B$18</f>
        <v>2.5000000000000001E-2</v>
      </c>
      <c r="O7" s="302">
        <f>Assumptions!$B$18</f>
        <v>2.5000000000000001E-2</v>
      </c>
      <c r="P7" s="302">
        <f>Assumptions!$B$18</f>
        <v>2.5000000000000001E-2</v>
      </c>
      <c r="Q7" s="302">
        <f>Assumptions!$B$18</f>
        <v>2.5000000000000001E-2</v>
      </c>
      <c r="R7" s="302">
        <f>Assumptions!$B$18</f>
        <v>2.5000000000000001E-2</v>
      </c>
      <c r="S7" s="302">
        <f>Assumptions!$B$18</f>
        <v>2.5000000000000001E-2</v>
      </c>
      <c r="T7" s="302">
        <f>Assumptions!$B$18</f>
        <v>2.5000000000000001E-2</v>
      </c>
      <c r="U7" s="302">
        <f>Assumptions!$B$18</f>
        <v>2.5000000000000001E-2</v>
      </c>
      <c r="V7" s="302">
        <f>Assumptions!$B$18</f>
        <v>2.5000000000000001E-2</v>
      </c>
      <c r="W7" s="302">
        <f>Assumptions!$B$18</f>
        <v>2.5000000000000001E-2</v>
      </c>
      <c r="X7" s="302">
        <f>Assumptions!$B$18</f>
        <v>2.5000000000000001E-2</v>
      </c>
      <c r="Y7" s="302">
        <f>Assumptions!$B$18</f>
        <v>2.5000000000000001E-2</v>
      </c>
      <c r="Z7" s="302">
        <f>Assumptions!$B$18</f>
        <v>2.5000000000000001E-2</v>
      </c>
      <c r="AA7" s="302">
        <f>Assumptions!$B$18</f>
        <v>2.5000000000000001E-2</v>
      </c>
      <c r="AB7" s="302">
        <f>Assumptions!$B$18</f>
        <v>2.5000000000000001E-2</v>
      </c>
      <c r="AC7" s="302">
        <f>Assumptions!$B$18</f>
        <v>2.5000000000000001E-2</v>
      </c>
      <c r="AD7" s="302">
        <f>Assumptions!$B$18</f>
        <v>2.5000000000000001E-2</v>
      </c>
      <c r="AE7" s="302">
        <f>Assumptions!$B$18</f>
        <v>2.5000000000000001E-2</v>
      </c>
      <c r="AF7" s="302">
        <f>Assumptions!$B$18</f>
        <v>2.5000000000000001E-2</v>
      </c>
      <c r="AG7" s="302">
        <f>Assumptions!$B$18</f>
        <v>2.5000000000000001E-2</v>
      </c>
      <c r="AH7" s="302">
        <f>Assumptions!$B$18</f>
        <v>2.5000000000000001E-2</v>
      </c>
      <c r="AI7" s="302">
        <f>Assumptions!$B$18</f>
        <v>2.5000000000000001E-2</v>
      </c>
      <c r="AJ7" s="302">
        <f>Assumptions!$B$18</f>
        <v>2.5000000000000001E-2</v>
      </c>
      <c r="AK7" s="302">
        <f>Assumptions!$B$18</f>
        <v>2.5000000000000001E-2</v>
      </c>
      <c r="AL7" s="302">
        <f>Assumptions!$B$18</f>
        <v>2.5000000000000001E-2</v>
      </c>
      <c r="AM7" s="302">
        <f>Assumptions!$B$18</f>
        <v>2.5000000000000001E-2</v>
      </c>
      <c r="AN7" s="302">
        <f>Assumptions!$B$18</f>
        <v>2.5000000000000001E-2</v>
      </c>
      <c r="AO7" s="302">
        <f>Assumptions!$B$18</f>
        <v>2.5000000000000001E-2</v>
      </c>
      <c r="AP7" s="302">
        <f>Assumptions!$B$18</f>
        <v>2.5000000000000001E-2</v>
      </c>
      <c r="AQ7" s="302">
        <f>Assumptions!$B$18</f>
        <v>2.5000000000000001E-2</v>
      </c>
      <c r="AR7" s="302">
        <f>Assumptions!$B$18</f>
        <v>2.5000000000000001E-2</v>
      </c>
      <c r="AS7" s="302">
        <f>Assumptions!$B$18</f>
        <v>2.5000000000000001E-2</v>
      </c>
      <c r="AT7" s="302">
        <f>Assumptions!$B$18</f>
        <v>2.5000000000000001E-2</v>
      </c>
      <c r="AU7" s="302">
        <f>Assumptions!$B$18</f>
        <v>2.5000000000000001E-2</v>
      </c>
      <c r="AV7" s="302">
        <f>Assumptions!$B$18</f>
        <v>2.5000000000000001E-2</v>
      </c>
      <c r="AW7" s="302">
        <f>Assumptions!$B$18</f>
        <v>2.5000000000000001E-2</v>
      </c>
      <c r="AX7" s="302">
        <f>Assumptions!$B$18</f>
        <v>2.5000000000000001E-2</v>
      </c>
      <c r="AY7" s="302">
        <f>Assumptions!$B$18</f>
        <v>2.5000000000000001E-2</v>
      </c>
      <c r="AZ7" s="302">
        <f>Assumptions!$B$18</f>
        <v>2.5000000000000001E-2</v>
      </c>
      <c r="BA7" s="302">
        <f>Assumptions!$B$18</f>
        <v>2.5000000000000001E-2</v>
      </c>
      <c r="BB7" s="302">
        <f>Assumptions!$B$18</f>
        <v>2.5000000000000001E-2</v>
      </c>
      <c r="BC7" s="302">
        <f>Assumptions!$B$18</f>
        <v>2.5000000000000001E-2</v>
      </c>
      <c r="BD7" s="302">
        <f>Assumptions!$B$18</f>
        <v>2.5000000000000001E-2</v>
      </c>
      <c r="BE7" s="302">
        <f>Assumptions!$B$18</f>
        <v>2.5000000000000001E-2</v>
      </c>
      <c r="BF7" s="302">
        <f>Assumptions!$B$18</f>
        <v>2.5000000000000001E-2</v>
      </c>
      <c r="BG7" s="302">
        <f>Assumptions!$B$18</f>
        <v>2.5000000000000001E-2</v>
      </c>
      <c r="BH7" s="302">
        <f>Assumptions!$B$18</f>
        <v>2.5000000000000001E-2</v>
      </c>
      <c r="BI7" s="302">
        <f>Assumptions!$B$18</f>
        <v>2.5000000000000001E-2</v>
      </c>
      <c r="BJ7" s="302">
        <f>Assumptions!$B$18</f>
        <v>2.5000000000000001E-2</v>
      </c>
      <c r="BK7" s="302">
        <f>Assumptions!$B$18</f>
        <v>2.5000000000000001E-2</v>
      </c>
      <c r="BL7" s="302">
        <f>Assumptions!$B$18</f>
        <v>2.5000000000000001E-2</v>
      </c>
      <c r="BM7" s="302">
        <f>Assumptions!$B$18</f>
        <v>2.5000000000000001E-2</v>
      </c>
      <c r="BN7" s="302">
        <f>Assumptions!$B$18</f>
        <v>2.5000000000000001E-2</v>
      </c>
      <c r="BO7" s="302">
        <f>Assumptions!$B$18</f>
        <v>2.5000000000000001E-2</v>
      </c>
      <c r="BP7" s="302">
        <f>Assumptions!$B$18</f>
        <v>2.5000000000000001E-2</v>
      </c>
      <c r="BQ7" s="302">
        <f>Assumptions!$B$18</f>
        <v>2.5000000000000001E-2</v>
      </c>
      <c r="BR7" s="302">
        <f>Assumptions!$B$18</f>
        <v>2.5000000000000001E-2</v>
      </c>
      <c r="BS7" s="302">
        <f>Assumptions!$B$18</f>
        <v>2.5000000000000001E-2</v>
      </c>
    </row>
    <row r="8" spans="1:73" ht="12.75" customHeight="1">
      <c r="A8" s="711" t="s">
        <v>0</v>
      </c>
      <c r="B8" s="714" t="s">
        <v>1</v>
      </c>
      <c r="C8" s="714" t="s">
        <v>2</v>
      </c>
      <c r="D8" s="714"/>
      <c r="E8" s="714"/>
      <c r="F8" s="715" t="s">
        <v>26</v>
      </c>
      <c r="G8" s="42"/>
      <c r="H8" s="42"/>
      <c r="I8" s="704" t="s">
        <v>20</v>
      </c>
      <c r="J8" s="704" t="s">
        <v>21</v>
      </c>
      <c r="K8" s="707" t="s">
        <v>27</v>
      </c>
      <c r="L8" s="86" t="s">
        <v>39</v>
      </c>
      <c r="M8" s="87"/>
      <c r="N8" s="87"/>
      <c r="O8" s="87"/>
      <c r="P8" s="87"/>
      <c r="Q8" s="87"/>
      <c r="R8" s="87"/>
      <c r="S8" s="87"/>
      <c r="T8" s="87"/>
      <c r="U8" s="87"/>
      <c r="V8" s="87"/>
      <c r="W8" s="87"/>
      <c r="X8" s="87"/>
      <c r="Y8" s="87"/>
      <c r="Z8" s="87"/>
      <c r="AA8" s="87"/>
      <c r="AB8" s="87"/>
      <c r="AC8" s="87"/>
      <c r="AD8" s="87"/>
      <c r="AE8" s="87"/>
      <c r="AF8" s="87"/>
      <c r="AG8" s="87"/>
      <c r="AH8" s="87"/>
      <c r="AI8" s="87"/>
      <c r="AJ8" s="87"/>
      <c r="AK8" s="87"/>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8"/>
      <c r="BN8" s="88"/>
      <c r="BO8" s="88"/>
      <c r="BP8" s="88"/>
      <c r="BQ8" s="88"/>
      <c r="BR8" s="88"/>
      <c r="BS8" s="88"/>
      <c r="BT8" s="35"/>
    </row>
    <row r="9" spans="1:73" ht="52.5" customHeight="1">
      <c r="A9" s="712"/>
      <c r="B9" s="709"/>
      <c r="C9" s="709" t="s">
        <v>4</v>
      </c>
      <c r="D9" s="709" t="s">
        <v>5</v>
      </c>
      <c r="E9" s="709" t="s">
        <v>3</v>
      </c>
      <c r="F9" s="716"/>
      <c r="G9" s="43" t="s">
        <v>95</v>
      </c>
      <c r="H9" s="43" t="s">
        <v>41</v>
      </c>
      <c r="I9" s="705"/>
      <c r="J9" s="705"/>
      <c r="K9" s="708"/>
      <c r="L9" s="36">
        <v>0</v>
      </c>
      <c r="M9" s="36">
        <v>1</v>
      </c>
      <c r="N9" s="36">
        <f t="shared" ref="N9:AS9" si="2">+M9+1</f>
        <v>2</v>
      </c>
      <c r="O9" s="36">
        <f t="shared" si="2"/>
        <v>3</v>
      </c>
      <c r="P9" s="36">
        <f t="shared" si="2"/>
        <v>4</v>
      </c>
      <c r="Q9" s="36">
        <f t="shared" si="2"/>
        <v>5</v>
      </c>
      <c r="R9" s="36">
        <f t="shared" si="2"/>
        <v>6</v>
      </c>
      <c r="S9" s="36">
        <f t="shared" si="2"/>
        <v>7</v>
      </c>
      <c r="T9" s="36">
        <f t="shared" si="2"/>
        <v>8</v>
      </c>
      <c r="U9" s="36">
        <f t="shared" si="2"/>
        <v>9</v>
      </c>
      <c r="V9" s="36">
        <f t="shared" si="2"/>
        <v>10</v>
      </c>
      <c r="W9" s="36">
        <f t="shared" si="2"/>
        <v>11</v>
      </c>
      <c r="X9" s="36">
        <f t="shared" si="2"/>
        <v>12</v>
      </c>
      <c r="Y9" s="36">
        <f t="shared" si="2"/>
        <v>13</v>
      </c>
      <c r="Z9" s="36">
        <f t="shared" si="2"/>
        <v>14</v>
      </c>
      <c r="AA9" s="36">
        <f t="shared" si="2"/>
        <v>15</v>
      </c>
      <c r="AB9" s="36">
        <f t="shared" si="2"/>
        <v>16</v>
      </c>
      <c r="AC9" s="36">
        <f t="shared" si="2"/>
        <v>17</v>
      </c>
      <c r="AD9" s="36">
        <f t="shared" si="2"/>
        <v>18</v>
      </c>
      <c r="AE9" s="36">
        <f t="shared" si="2"/>
        <v>19</v>
      </c>
      <c r="AF9" s="36">
        <f t="shared" si="2"/>
        <v>20</v>
      </c>
      <c r="AG9" s="36">
        <f t="shared" si="2"/>
        <v>21</v>
      </c>
      <c r="AH9" s="36">
        <f t="shared" si="2"/>
        <v>22</v>
      </c>
      <c r="AI9" s="36">
        <f t="shared" si="2"/>
        <v>23</v>
      </c>
      <c r="AJ9" s="36">
        <f t="shared" si="2"/>
        <v>24</v>
      </c>
      <c r="AK9" s="36">
        <f t="shared" si="2"/>
        <v>25</v>
      </c>
      <c r="AL9" s="36">
        <f t="shared" si="2"/>
        <v>26</v>
      </c>
      <c r="AM9" s="36">
        <f t="shared" si="2"/>
        <v>27</v>
      </c>
      <c r="AN9" s="36">
        <f t="shared" si="2"/>
        <v>28</v>
      </c>
      <c r="AO9" s="36">
        <f t="shared" si="2"/>
        <v>29</v>
      </c>
      <c r="AP9" s="36">
        <f t="shared" si="2"/>
        <v>30</v>
      </c>
      <c r="AQ9" s="36">
        <f t="shared" si="2"/>
        <v>31</v>
      </c>
      <c r="AR9" s="36">
        <f t="shared" si="2"/>
        <v>32</v>
      </c>
      <c r="AS9" s="36">
        <f t="shared" si="2"/>
        <v>33</v>
      </c>
      <c r="AT9" s="36">
        <f t="shared" ref="AT9:BS9" si="3">+AS9+1</f>
        <v>34</v>
      </c>
      <c r="AU9" s="36">
        <f t="shared" si="3"/>
        <v>35</v>
      </c>
      <c r="AV9" s="36">
        <f t="shared" si="3"/>
        <v>36</v>
      </c>
      <c r="AW9" s="36">
        <f t="shared" si="3"/>
        <v>37</v>
      </c>
      <c r="AX9" s="36">
        <f t="shared" si="3"/>
        <v>38</v>
      </c>
      <c r="AY9" s="36">
        <f t="shared" si="3"/>
        <v>39</v>
      </c>
      <c r="AZ9" s="36">
        <f t="shared" si="3"/>
        <v>40</v>
      </c>
      <c r="BA9" s="36">
        <f t="shared" si="3"/>
        <v>41</v>
      </c>
      <c r="BB9" s="36">
        <f t="shared" si="3"/>
        <v>42</v>
      </c>
      <c r="BC9" s="36">
        <f t="shared" si="3"/>
        <v>43</v>
      </c>
      <c r="BD9" s="36">
        <f t="shared" si="3"/>
        <v>44</v>
      </c>
      <c r="BE9" s="36">
        <f t="shared" si="3"/>
        <v>45</v>
      </c>
      <c r="BF9" s="36">
        <f t="shared" si="3"/>
        <v>46</v>
      </c>
      <c r="BG9" s="36">
        <f t="shared" si="3"/>
        <v>47</v>
      </c>
      <c r="BH9" s="36">
        <f t="shared" si="3"/>
        <v>48</v>
      </c>
      <c r="BI9" s="36">
        <f t="shared" si="3"/>
        <v>49</v>
      </c>
      <c r="BJ9" s="36">
        <f t="shared" si="3"/>
        <v>50</v>
      </c>
      <c r="BK9" s="36">
        <f t="shared" si="3"/>
        <v>51</v>
      </c>
      <c r="BL9" s="36">
        <f t="shared" si="3"/>
        <v>52</v>
      </c>
      <c r="BM9" s="36">
        <f t="shared" si="3"/>
        <v>53</v>
      </c>
      <c r="BN9" s="36">
        <f t="shared" si="3"/>
        <v>54</v>
      </c>
      <c r="BO9" s="36">
        <f t="shared" si="3"/>
        <v>55</v>
      </c>
      <c r="BP9" s="36">
        <f t="shared" si="3"/>
        <v>56</v>
      </c>
      <c r="BQ9" s="36">
        <f t="shared" si="3"/>
        <v>57</v>
      </c>
      <c r="BR9" s="36">
        <f t="shared" si="3"/>
        <v>58</v>
      </c>
      <c r="BS9" s="36">
        <f t="shared" si="3"/>
        <v>59</v>
      </c>
      <c r="BT9" s="37"/>
    </row>
    <row r="10" spans="1:73" ht="14.55" customHeight="1" thickBot="1">
      <c r="A10" s="713"/>
      <c r="B10" s="710"/>
      <c r="C10" s="710"/>
      <c r="D10" s="710"/>
      <c r="E10" s="710"/>
      <c r="F10" s="28" t="str">
        <f>CONCATENATE("(",$B$5,")")</f>
        <v>(2026 $s)</v>
      </c>
      <c r="G10" s="28" t="str">
        <f>CONCATENATE("(",$B$5,")")</f>
        <v>(2026 $s)</v>
      </c>
      <c r="H10" s="28" t="str">
        <f>CONCATENATE("(",$B$5,")")</f>
        <v>(2026 $s)</v>
      </c>
      <c r="I10" s="706"/>
      <c r="J10" s="706"/>
      <c r="K10" s="33" t="str">
        <f>CONCATENATE("(",B5,")")</f>
        <v>(2026 $s)</v>
      </c>
      <c r="L10" s="5">
        <f>Assumptions!B3</f>
        <v>2026</v>
      </c>
      <c r="M10" s="5">
        <f t="shared" ref="M10:AR10" si="4">L10+1</f>
        <v>2027</v>
      </c>
      <c r="N10" s="5">
        <f t="shared" si="4"/>
        <v>2028</v>
      </c>
      <c r="O10" s="5">
        <f t="shared" si="4"/>
        <v>2029</v>
      </c>
      <c r="P10" s="5">
        <f t="shared" si="4"/>
        <v>2030</v>
      </c>
      <c r="Q10" s="5">
        <f t="shared" si="4"/>
        <v>2031</v>
      </c>
      <c r="R10" s="5">
        <f t="shared" si="4"/>
        <v>2032</v>
      </c>
      <c r="S10" s="5">
        <f t="shared" si="4"/>
        <v>2033</v>
      </c>
      <c r="T10" s="5">
        <f t="shared" si="4"/>
        <v>2034</v>
      </c>
      <c r="U10" s="5">
        <f t="shared" si="4"/>
        <v>2035</v>
      </c>
      <c r="V10" s="5">
        <f t="shared" si="4"/>
        <v>2036</v>
      </c>
      <c r="W10" s="5">
        <f t="shared" si="4"/>
        <v>2037</v>
      </c>
      <c r="X10" s="5">
        <f t="shared" si="4"/>
        <v>2038</v>
      </c>
      <c r="Y10" s="5">
        <f t="shared" si="4"/>
        <v>2039</v>
      </c>
      <c r="Z10" s="5">
        <f t="shared" si="4"/>
        <v>2040</v>
      </c>
      <c r="AA10" s="5">
        <f t="shared" si="4"/>
        <v>2041</v>
      </c>
      <c r="AB10" s="5">
        <f t="shared" si="4"/>
        <v>2042</v>
      </c>
      <c r="AC10" s="5">
        <f t="shared" si="4"/>
        <v>2043</v>
      </c>
      <c r="AD10" s="5">
        <f t="shared" si="4"/>
        <v>2044</v>
      </c>
      <c r="AE10" s="5">
        <f t="shared" si="4"/>
        <v>2045</v>
      </c>
      <c r="AF10" s="5">
        <f t="shared" si="4"/>
        <v>2046</v>
      </c>
      <c r="AG10" s="5">
        <f t="shared" si="4"/>
        <v>2047</v>
      </c>
      <c r="AH10" s="5">
        <f t="shared" si="4"/>
        <v>2048</v>
      </c>
      <c r="AI10" s="5">
        <f t="shared" si="4"/>
        <v>2049</v>
      </c>
      <c r="AJ10" s="5">
        <f t="shared" si="4"/>
        <v>2050</v>
      </c>
      <c r="AK10" s="5">
        <f t="shared" si="4"/>
        <v>2051</v>
      </c>
      <c r="AL10" s="5">
        <f t="shared" si="4"/>
        <v>2052</v>
      </c>
      <c r="AM10" s="5">
        <f t="shared" si="4"/>
        <v>2053</v>
      </c>
      <c r="AN10" s="5">
        <f t="shared" si="4"/>
        <v>2054</v>
      </c>
      <c r="AO10" s="5">
        <f t="shared" si="4"/>
        <v>2055</v>
      </c>
      <c r="AP10" s="5">
        <f t="shared" si="4"/>
        <v>2056</v>
      </c>
      <c r="AQ10" s="5">
        <f t="shared" si="4"/>
        <v>2057</v>
      </c>
      <c r="AR10" s="5">
        <f t="shared" si="4"/>
        <v>2058</v>
      </c>
      <c r="AS10" s="5">
        <f t="shared" ref="AS10:BS10" si="5">AR10+1</f>
        <v>2059</v>
      </c>
      <c r="AT10" s="5">
        <f t="shared" si="5"/>
        <v>2060</v>
      </c>
      <c r="AU10" s="5">
        <f t="shared" si="5"/>
        <v>2061</v>
      </c>
      <c r="AV10" s="5">
        <f t="shared" si="5"/>
        <v>2062</v>
      </c>
      <c r="AW10" s="5">
        <f t="shared" si="5"/>
        <v>2063</v>
      </c>
      <c r="AX10" s="5">
        <f t="shared" si="5"/>
        <v>2064</v>
      </c>
      <c r="AY10" s="5">
        <f t="shared" si="5"/>
        <v>2065</v>
      </c>
      <c r="AZ10" s="5">
        <f t="shared" si="5"/>
        <v>2066</v>
      </c>
      <c r="BA10" s="5">
        <f t="shared" si="5"/>
        <v>2067</v>
      </c>
      <c r="BB10" s="5">
        <f t="shared" si="5"/>
        <v>2068</v>
      </c>
      <c r="BC10" s="5">
        <f t="shared" si="5"/>
        <v>2069</v>
      </c>
      <c r="BD10" s="5">
        <f t="shared" si="5"/>
        <v>2070</v>
      </c>
      <c r="BE10" s="5">
        <f t="shared" si="5"/>
        <v>2071</v>
      </c>
      <c r="BF10" s="5">
        <f t="shared" si="5"/>
        <v>2072</v>
      </c>
      <c r="BG10" s="5">
        <f t="shared" si="5"/>
        <v>2073</v>
      </c>
      <c r="BH10" s="5">
        <f t="shared" si="5"/>
        <v>2074</v>
      </c>
      <c r="BI10" s="5">
        <f t="shared" si="5"/>
        <v>2075</v>
      </c>
      <c r="BJ10" s="5">
        <f t="shared" si="5"/>
        <v>2076</v>
      </c>
      <c r="BK10" s="5">
        <f t="shared" si="5"/>
        <v>2077</v>
      </c>
      <c r="BL10" s="5">
        <f t="shared" si="5"/>
        <v>2078</v>
      </c>
      <c r="BM10" s="5">
        <f t="shared" si="5"/>
        <v>2079</v>
      </c>
      <c r="BN10" s="5">
        <f t="shared" si="5"/>
        <v>2080</v>
      </c>
      <c r="BO10" s="5">
        <f t="shared" si="5"/>
        <v>2081</v>
      </c>
      <c r="BP10" s="5">
        <f t="shared" si="5"/>
        <v>2082</v>
      </c>
      <c r="BQ10" s="5">
        <f t="shared" si="5"/>
        <v>2083</v>
      </c>
      <c r="BR10" s="5">
        <f t="shared" si="5"/>
        <v>2084</v>
      </c>
      <c r="BS10" s="5">
        <f t="shared" si="5"/>
        <v>2085</v>
      </c>
      <c r="BT10" s="38" t="s">
        <v>6</v>
      </c>
    </row>
    <row r="11" spans="1:73" ht="13.5" customHeight="1">
      <c r="A11" s="8" t="s">
        <v>13</v>
      </c>
      <c r="B11" s="9" t="s">
        <v>12</v>
      </c>
      <c r="C11" s="9" t="s">
        <v>96</v>
      </c>
      <c r="D11" s="9" t="s">
        <v>97</v>
      </c>
      <c r="E11" s="9" t="s">
        <v>15</v>
      </c>
      <c r="F11" s="11" t="s">
        <v>14</v>
      </c>
      <c r="G11" s="11" t="s">
        <v>16</v>
      </c>
      <c r="H11" s="11" t="s">
        <v>17</v>
      </c>
      <c r="I11" s="11" t="s">
        <v>18</v>
      </c>
      <c r="J11" s="11" t="s">
        <v>19</v>
      </c>
      <c r="K11" s="34" t="s">
        <v>98</v>
      </c>
      <c r="L11" s="46"/>
      <c r="M11" s="46"/>
      <c r="N11" s="40" t="str">
        <f>IF(AND(N$10=$C11,N$10=$D11),(($K11/$E11)*N$6),IF(AND(N$10&gt;=$C11,N$10&lt;=$D11),(($K11/$E11)*N$6),""))</f>
        <v/>
      </c>
      <c r="O11" s="46"/>
      <c r="P11" s="46"/>
      <c r="Q11" s="46"/>
      <c r="R11" s="46"/>
      <c r="S11" s="46"/>
      <c r="T11" s="46"/>
      <c r="U11" s="46"/>
      <c r="V11" s="46"/>
      <c r="W11" s="46"/>
      <c r="X11" s="46"/>
      <c r="Y11" s="46"/>
      <c r="Z11" s="46"/>
      <c r="AA11" s="46"/>
      <c r="AB11" s="46"/>
      <c r="AC11" s="46"/>
      <c r="AD11" s="46"/>
      <c r="AE11" s="47"/>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39"/>
    </row>
    <row r="12" spans="1:73" ht="15.75" hidden="1" customHeight="1">
      <c r="A12" s="95"/>
      <c r="B12" s="188"/>
      <c r="C12" s="118"/>
      <c r="D12" s="118"/>
      <c r="E12" s="119"/>
      <c r="F12" s="100"/>
      <c r="G12" s="96"/>
      <c r="H12" s="98"/>
      <c r="I12" s="101"/>
      <c r="J12" s="97"/>
      <c r="K12" s="99"/>
      <c r="L12" s="40" t="str">
        <f>IF(AND(L$10=$C12,L$10=$D12),(($K12/$E12)*L$6),IF(AND(L$10&gt;=$C12,L$10&lt;=$D12),(($K12/$E12)*L$6),""))</f>
        <v/>
      </c>
      <c r="M12" s="40" t="str">
        <f>IF(AND(M$10=$C12,M$10=$D12),(($K12/$E12)*M$6),IF(AND(M$10&gt;=$C12,M$10&lt;=$D12),(($K12/$E12)*M$6),""))</f>
        <v/>
      </c>
      <c r="N12" s="40" t="str">
        <f>IF(AND(N$10=$C12,N$10=$D12),(($K12/$E12)*N$6),IF(AND(N$10&gt;=$C12,N$10&lt;=$D12),(($K12/$E12)*N$6),""))</f>
        <v/>
      </c>
      <c r="O12" s="40" t="str">
        <f t="shared" ref="O12:AT12" si="6">IF(AND(O$10=$C12,O$10=$D12),(($K12/$E12)*O$6),IF(AND(O$10&gt;=$C12,O$10&lt;=$D12),(($K12/$E12)*O$6),""))</f>
        <v/>
      </c>
      <c r="P12" s="40" t="str">
        <f t="shared" si="6"/>
        <v/>
      </c>
      <c r="Q12" s="40" t="str">
        <f t="shared" si="6"/>
        <v/>
      </c>
      <c r="R12" s="40" t="str">
        <f t="shared" si="6"/>
        <v/>
      </c>
      <c r="S12" s="40" t="str">
        <f t="shared" si="6"/>
        <v/>
      </c>
      <c r="T12" s="40" t="str">
        <f t="shared" si="6"/>
        <v/>
      </c>
      <c r="U12" s="40" t="str">
        <f t="shared" si="6"/>
        <v/>
      </c>
      <c r="V12" s="40" t="str">
        <f t="shared" si="6"/>
        <v/>
      </c>
      <c r="W12" s="40" t="str">
        <f t="shared" si="6"/>
        <v/>
      </c>
      <c r="X12" s="40" t="str">
        <f t="shared" si="6"/>
        <v/>
      </c>
      <c r="Y12" s="40" t="str">
        <f t="shared" si="6"/>
        <v/>
      </c>
      <c r="Z12" s="40" t="str">
        <f t="shared" si="6"/>
        <v/>
      </c>
      <c r="AA12" s="40" t="str">
        <f t="shared" si="6"/>
        <v/>
      </c>
      <c r="AB12" s="40" t="str">
        <f t="shared" si="6"/>
        <v/>
      </c>
      <c r="AC12" s="40" t="str">
        <f t="shared" si="6"/>
        <v/>
      </c>
      <c r="AD12" s="40" t="str">
        <f t="shared" si="6"/>
        <v/>
      </c>
      <c r="AE12" s="40" t="str">
        <f t="shared" si="6"/>
        <v/>
      </c>
      <c r="AF12" s="40" t="str">
        <f t="shared" si="6"/>
        <v/>
      </c>
      <c r="AG12" s="40" t="str">
        <f t="shared" si="6"/>
        <v/>
      </c>
      <c r="AH12" s="40" t="str">
        <f t="shared" si="6"/>
        <v/>
      </c>
      <c r="AI12" s="40" t="str">
        <f t="shared" si="6"/>
        <v/>
      </c>
      <c r="AJ12" s="40" t="str">
        <f t="shared" si="6"/>
        <v/>
      </c>
      <c r="AK12" s="40" t="str">
        <f t="shared" si="6"/>
        <v/>
      </c>
      <c r="AL12" s="40" t="str">
        <f t="shared" si="6"/>
        <v/>
      </c>
      <c r="AM12" s="40" t="str">
        <f t="shared" si="6"/>
        <v/>
      </c>
      <c r="AN12" s="40" t="str">
        <f t="shared" si="6"/>
        <v/>
      </c>
      <c r="AO12" s="40" t="str">
        <f t="shared" si="6"/>
        <v/>
      </c>
      <c r="AP12" s="40" t="str">
        <f t="shared" si="6"/>
        <v/>
      </c>
      <c r="AQ12" s="40" t="str">
        <f t="shared" si="6"/>
        <v/>
      </c>
      <c r="AR12" s="40" t="str">
        <f t="shared" si="6"/>
        <v/>
      </c>
      <c r="AS12" s="40" t="str">
        <f t="shared" si="6"/>
        <v/>
      </c>
      <c r="AT12" s="40" t="str">
        <f t="shared" si="6"/>
        <v/>
      </c>
      <c r="AU12" s="40" t="str">
        <f t="shared" ref="AU12:BS12" si="7">IF(AND(AU$10=$C12,AU$10=$D12),(($K12/$E12)*AU$6),IF(AND(AU$10&gt;=$C12,AU$10&lt;=$D12),(($K12/$E12)*AU$6),""))</f>
        <v/>
      </c>
      <c r="AV12" s="40" t="str">
        <f t="shared" si="7"/>
        <v/>
      </c>
      <c r="AW12" s="40" t="str">
        <f t="shared" si="7"/>
        <v/>
      </c>
      <c r="AX12" s="40" t="str">
        <f t="shared" si="7"/>
        <v/>
      </c>
      <c r="AY12" s="40" t="str">
        <f t="shared" si="7"/>
        <v/>
      </c>
      <c r="AZ12" s="40" t="str">
        <f t="shared" si="7"/>
        <v/>
      </c>
      <c r="BA12" s="40" t="str">
        <f t="shared" si="7"/>
        <v/>
      </c>
      <c r="BB12" s="40" t="str">
        <f t="shared" si="7"/>
        <v/>
      </c>
      <c r="BC12" s="40" t="str">
        <f t="shared" si="7"/>
        <v/>
      </c>
      <c r="BD12" s="40" t="str">
        <f t="shared" si="7"/>
        <v/>
      </c>
      <c r="BE12" s="40" t="str">
        <f t="shared" si="7"/>
        <v/>
      </c>
      <c r="BF12" s="40" t="str">
        <f t="shared" si="7"/>
        <v/>
      </c>
      <c r="BG12" s="40" t="str">
        <f t="shared" si="7"/>
        <v/>
      </c>
      <c r="BH12" s="40" t="str">
        <f t="shared" si="7"/>
        <v/>
      </c>
      <c r="BI12" s="40" t="str">
        <f t="shared" si="7"/>
        <v/>
      </c>
      <c r="BJ12" s="40" t="str">
        <f t="shared" si="7"/>
        <v/>
      </c>
      <c r="BK12" s="40" t="str">
        <f t="shared" si="7"/>
        <v/>
      </c>
      <c r="BL12" s="40" t="str">
        <f t="shared" si="7"/>
        <v/>
      </c>
      <c r="BM12" s="40" t="str">
        <f t="shared" si="7"/>
        <v/>
      </c>
      <c r="BN12" s="40" t="str">
        <f t="shared" si="7"/>
        <v/>
      </c>
      <c r="BO12" s="40" t="str">
        <f t="shared" si="7"/>
        <v/>
      </c>
      <c r="BP12" s="40" t="str">
        <f t="shared" si="7"/>
        <v/>
      </c>
      <c r="BQ12" s="40" t="str">
        <f t="shared" si="7"/>
        <v/>
      </c>
      <c r="BR12" s="40" t="str">
        <f t="shared" si="7"/>
        <v/>
      </c>
      <c r="BS12" s="40" t="str">
        <f t="shared" si="7"/>
        <v/>
      </c>
      <c r="BT12" s="113">
        <f t="shared" ref="BT12:BT17" si="8">SUM(L12:BS12)</f>
        <v>0</v>
      </c>
    </row>
    <row r="13" spans="1:73">
      <c r="A13" s="192"/>
      <c r="B13" s="188" t="s">
        <v>152</v>
      </c>
      <c r="C13" s="139">
        <f>'T-Transportation'!G27</f>
        <v>2027</v>
      </c>
      <c r="D13" s="184">
        <f>'T-Transportation'!H27</f>
        <v>2028</v>
      </c>
      <c r="E13" s="189">
        <f>(D13-C13)+1</f>
        <v>2</v>
      </c>
      <c r="F13" s="185">
        <f>'T-Transportation'!P27</f>
        <v>6533888.2325812504</v>
      </c>
      <c r="G13" s="140"/>
      <c r="H13" s="190">
        <f>+Table1957810111213142361727281516171872021[[#This Row],[f]]-Table1957810111213142361727281516171872021[[#This Row],[g]]</f>
        <v>6533888.2325812504</v>
      </c>
      <c r="I13" s="186">
        <f>'T-Transportation'!$I$23</f>
        <v>0.91500000000000004</v>
      </c>
      <c r="J13" s="187">
        <f>1-Table1957810111213142361727281516171872021[[#This Row],[i]]</f>
        <v>8.4999999999999964E-2</v>
      </c>
      <c r="K13" s="191">
        <f>(Table1957810111213142361727281516171872021[[#This Row],[h]]*Table1957810111213142361727281516171872021[[#This Row],[i]])</f>
        <v>5978507.732811844</v>
      </c>
      <c r="L13" s="40" t="str">
        <f t="shared" ref="L13:AA17" si="9">IF(AND(L$10=$C13,L$10=$D13),(($K13/$E13)*L$6),IF(AND(L$10&gt;=$C13,L$10&lt;=$D13),(($K13/$E13)*L$6),""))</f>
        <v/>
      </c>
      <c r="M13" s="40">
        <f t="shared" si="9"/>
        <v>3063985.2130660699</v>
      </c>
      <c r="N13" s="40">
        <f t="shared" si="9"/>
        <v>3140584.8433927214</v>
      </c>
      <c r="O13" s="40" t="str">
        <f t="shared" si="9"/>
        <v/>
      </c>
      <c r="P13" s="40" t="str">
        <f t="shared" si="9"/>
        <v/>
      </c>
      <c r="Q13" s="40" t="str">
        <f t="shared" si="9"/>
        <v/>
      </c>
      <c r="R13" s="40" t="str">
        <f t="shared" si="9"/>
        <v/>
      </c>
      <c r="S13" s="40" t="str">
        <f t="shared" si="9"/>
        <v/>
      </c>
      <c r="T13" s="40" t="str">
        <f t="shared" si="9"/>
        <v/>
      </c>
      <c r="U13" s="40" t="str">
        <f t="shared" si="9"/>
        <v/>
      </c>
      <c r="V13" s="40" t="str">
        <f t="shared" si="9"/>
        <v/>
      </c>
      <c r="W13" s="40" t="str">
        <f t="shared" si="9"/>
        <v/>
      </c>
      <c r="X13" s="40" t="str">
        <f t="shared" si="9"/>
        <v/>
      </c>
      <c r="Y13" s="40" t="str">
        <f t="shared" si="9"/>
        <v/>
      </c>
      <c r="Z13" s="40" t="str">
        <f t="shared" si="9"/>
        <v/>
      </c>
      <c r="AA13" s="40" t="str">
        <f t="shared" si="9"/>
        <v/>
      </c>
      <c r="AB13" s="40" t="str">
        <f t="shared" ref="M13:BS17" si="10">IF(AND(AB$10=$C13,AB$10=$D13),(($K13/$E13)*AB$6),IF(AND(AB$10&gt;=$C13,AB$10&lt;=$D13),(($K13/$E13)*AB$6),""))</f>
        <v/>
      </c>
      <c r="AC13" s="40" t="str">
        <f t="shared" si="10"/>
        <v/>
      </c>
      <c r="AD13" s="40" t="str">
        <f t="shared" si="10"/>
        <v/>
      </c>
      <c r="AE13" s="40" t="str">
        <f t="shared" si="10"/>
        <v/>
      </c>
      <c r="AF13" s="40" t="str">
        <f t="shared" si="10"/>
        <v/>
      </c>
      <c r="AG13" s="40" t="str">
        <f t="shared" si="10"/>
        <v/>
      </c>
      <c r="AH13" s="40" t="str">
        <f t="shared" si="10"/>
        <v/>
      </c>
      <c r="AI13" s="40" t="str">
        <f t="shared" si="10"/>
        <v/>
      </c>
      <c r="AJ13" s="40" t="str">
        <f t="shared" si="10"/>
        <v/>
      </c>
      <c r="AK13" s="40" t="str">
        <f t="shared" si="10"/>
        <v/>
      </c>
      <c r="AL13" s="40" t="str">
        <f t="shared" si="10"/>
        <v/>
      </c>
      <c r="AM13" s="40" t="str">
        <f t="shared" si="10"/>
        <v/>
      </c>
      <c r="AN13" s="40" t="str">
        <f t="shared" si="10"/>
        <v/>
      </c>
      <c r="AO13" s="40" t="str">
        <f t="shared" si="10"/>
        <v/>
      </c>
      <c r="AP13" s="40" t="str">
        <f t="shared" si="10"/>
        <v/>
      </c>
      <c r="AQ13" s="40" t="str">
        <f t="shared" si="10"/>
        <v/>
      </c>
      <c r="AR13" s="40" t="str">
        <f t="shared" si="10"/>
        <v/>
      </c>
      <c r="AS13" s="40" t="str">
        <f t="shared" si="10"/>
        <v/>
      </c>
      <c r="AT13" s="40" t="str">
        <f t="shared" si="10"/>
        <v/>
      </c>
      <c r="AU13" s="40" t="str">
        <f t="shared" si="10"/>
        <v/>
      </c>
      <c r="AV13" s="40" t="str">
        <f t="shared" si="10"/>
        <v/>
      </c>
      <c r="AW13" s="40" t="str">
        <f t="shared" si="10"/>
        <v/>
      </c>
      <c r="AX13" s="40" t="str">
        <f t="shared" si="10"/>
        <v/>
      </c>
      <c r="AY13" s="40" t="str">
        <f t="shared" si="10"/>
        <v/>
      </c>
      <c r="AZ13" s="40" t="str">
        <f t="shared" si="10"/>
        <v/>
      </c>
      <c r="BA13" s="40" t="str">
        <f t="shared" si="10"/>
        <v/>
      </c>
      <c r="BB13" s="40" t="str">
        <f t="shared" si="10"/>
        <v/>
      </c>
      <c r="BC13" s="40" t="str">
        <f t="shared" si="10"/>
        <v/>
      </c>
      <c r="BD13" s="40" t="str">
        <f t="shared" si="10"/>
        <v/>
      </c>
      <c r="BE13" s="40" t="str">
        <f t="shared" si="10"/>
        <v/>
      </c>
      <c r="BF13" s="40" t="str">
        <f t="shared" si="10"/>
        <v/>
      </c>
      <c r="BG13" s="40" t="str">
        <f t="shared" si="10"/>
        <v/>
      </c>
      <c r="BH13" s="40" t="str">
        <f t="shared" si="10"/>
        <v/>
      </c>
      <c r="BI13" s="40" t="str">
        <f t="shared" si="10"/>
        <v/>
      </c>
      <c r="BJ13" s="40" t="str">
        <f t="shared" si="10"/>
        <v/>
      </c>
      <c r="BK13" s="40" t="str">
        <f t="shared" si="10"/>
        <v/>
      </c>
      <c r="BL13" s="40" t="str">
        <f t="shared" si="10"/>
        <v/>
      </c>
      <c r="BM13" s="40" t="str">
        <f t="shared" si="10"/>
        <v/>
      </c>
      <c r="BN13" s="40" t="str">
        <f t="shared" si="10"/>
        <v/>
      </c>
      <c r="BO13" s="40" t="str">
        <f t="shared" si="10"/>
        <v/>
      </c>
      <c r="BP13" s="40" t="str">
        <f t="shared" si="10"/>
        <v/>
      </c>
      <c r="BQ13" s="40" t="str">
        <f t="shared" si="10"/>
        <v/>
      </c>
      <c r="BR13" s="40" t="str">
        <f t="shared" si="10"/>
        <v/>
      </c>
      <c r="BS13" s="40" t="str">
        <f t="shared" si="10"/>
        <v/>
      </c>
      <c r="BT13" s="113">
        <f t="shared" si="8"/>
        <v>6204570.0564587917</v>
      </c>
    </row>
    <row r="14" spans="1:73">
      <c r="A14" s="192"/>
      <c r="B14" s="188" t="s">
        <v>153</v>
      </c>
      <c r="C14" s="139">
        <f>'T-Transportation'!G28</f>
        <v>2035</v>
      </c>
      <c r="D14" s="184">
        <f>'T-Transportation'!H28</f>
        <v>2036</v>
      </c>
      <c r="E14" s="189">
        <f>(D14-C14)+1</f>
        <v>2</v>
      </c>
      <c r="F14" s="185">
        <f>'T-Transportation'!P28</f>
        <v>11675813.663014583</v>
      </c>
      <c r="G14" s="140"/>
      <c r="H14" s="190">
        <f>+Table1957810111213142361727281516171872021[[#This Row],[f]]-Table1957810111213142361727281516171872021[[#This Row],[g]]</f>
        <v>11675813.663014583</v>
      </c>
      <c r="I14" s="186">
        <f>'T-Transportation'!$I$23</f>
        <v>0.91500000000000004</v>
      </c>
      <c r="J14" s="187">
        <f>1-Table1957810111213142361727281516171872021[[#This Row],[i]]</f>
        <v>8.4999999999999964E-2</v>
      </c>
      <c r="K14" s="191">
        <f>(Table1957810111213142361727281516171872021[[#This Row],[h]]*Table1957810111213142361727281516171872021[[#This Row],[i]])</f>
        <v>10683369.501658345</v>
      </c>
      <c r="L14" s="40" t="str">
        <f t="shared" si="9"/>
        <v/>
      </c>
      <c r="M14" s="40" t="str">
        <f t="shared" si="9"/>
        <v/>
      </c>
      <c r="N14" s="40" t="str">
        <f t="shared" si="9"/>
        <v/>
      </c>
      <c r="O14" s="40" t="str">
        <f t="shared" si="9"/>
        <v/>
      </c>
      <c r="P14" s="40" t="str">
        <f t="shared" si="9"/>
        <v/>
      </c>
      <c r="Q14" s="40" t="str">
        <f t="shared" si="9"/>
        <v/>
      </c>
      <c r="R14" s="40" t="str">
        <f t="shared" si="9"/>
        <v/>
      </c>
      <c r="S14" s="40" t="str">
        <f t="shared" si="9"/>
        <v/>
      </c>
      <c r="T14" s="40" t="str">
        <f t="shared" si="9"/>
        <v/>
      </c>
      <c r="U14" s="40">
        <f t="shared" si="9"/>
        <v>6671032.2824446745</v>
      </c>
      <c r="V14" s="40">
        <f t="shared" si="9"/>
        <v>6837808.0895057898</v>
      </c>
      <c r="W14" s="40" t="str">
        <f t="shared" si="9"/>
        <v/>
      </c>
      <c r="X14" s="40" t="str">
        <f t="shared" si="9"/>
        <v/>
      </c>
      <c r="Y14" s="40" t="str">
        <f t="shared" si="9"/>
        <v/>
      </c>
      <c r="Z14" s="40" t="str">
        <f t="shared" si="9"/>
        <v/>
      </c>
      <c r="AA14" s="40" t="str">
        <f t="shared" si="9"/>
        <v/>
      </c>
      <c r="AB14" s="40" t="str">
        <f t="shared" si="10"/>
        <v/>
      </c>
      <c r="AC14" s="40" t="str">
        <f t="shared" si="10"/>
        <v/>
      </c>
      <c r="AD14" s="40" t="str">
        <f t="shared" si="10"/>
        <v/>
      </c>
      <c r="AE14" s="40" t="str">
        <f t="shared" si="10"/>
        <v/>
      </c>
      <c r="AF14" s="40" t="str">
        <f t="shared" si="10"/>
        <v/>
      </c>
      <c r="AG14" s="40" t="str">
        <f t="shared" si="10"/>
        <v/>
      </c>
      <c r="AH14" s="40" t="str">
        <f t="shared" si="10"/>
        <v/>
      </c>
      <c r="AI14" s="40" t="str">
        <f t="shared" si="10"/>
        <v/>
      </c>
      <c r="AJ14" s="40" t="str">
        <f t="shared" si="10"/>
        <v/>
      </c>
      <c r="AK14" s="40" t="str">
        <f t="shared" si="10"/>
        <v/>
      </c>
      <c r="AL14" s="40" t="str">
        <f t="shared" si="10"/>
        <v/>
      </c>
      <c r="AM14" s="40" t="str">
        <f t="shared" si="10"/>
        <v/>
      </c>
      <c r="AN14" s="40" t="str">
        <f t="shared" si="10"/>
        <v/>
      </c>
      <c r="AO14" s="40" t="str">
        <f t="shared" si="10"/>
        <v/>
      </c>
      <c r="AP14" s="40" t="str">
        <f t="shared" si="10"/>
        <v/>
      </c>
      <c r="AQ14" s="40" t="str">
        <f t="shared" si="10"/>
        <v/>
      </c>
      <c r="AR14" s="40" t="str">
        <f t="shared" si="10"/>
        <v/>
      </c>
      <c r="AS14" s="40" t="str">
        <f t="shared" si="10"/>
        <v/>
      </c>
      <c r="AT14" s="40" t="str">
        <f t="shared" si="10"/>
        <v/>
      </c>
      <c r="AU14" s="40" t="str">
        <f t="shared" si="10"/>
        <v/>
      </c>
      <c r="AV14" s="40" t="str">
        <f t="shared" si="10"/>
        <v/>
      </c>
      <c r="AW14" s="40" t="str">
        <f t="shared" si="10"/>
        <v/>
      </c>
      <c r="AX14" s="40" t="str">
        <f t="shared" si="10"/>
        <v/>
      </c>
      <c r="AY14" s="40" t="str">
        <f t="shared" si="10"/>
        <v/>
      </c>
      <c r="AZ14" s="40" t="str">
        <f t="shared" si="10"/>
        <v/>
      </c>
      <c r="BA14" s="40" t="str">
        <f t="shared" si="10"/>
        <v/>
      </c>
      <c r="BB14" s="40" t="str">
        <f t="shared" si="10"/>
        <v/>
      </c>
      <c r="BC14" s="40" t="str">
        <f t="shared" si="10"/>
        <v/>
      </c>
      <c r="BD14" s="40" t="str">
        <f t="shared" si="10"/>
        <v/>
      </c>
      <c r="BE14" s="40" t="str">
        <f t="shared" si="10"/>
        <v/>
      </c>
      <c r="BF14" s="40" t="str">
        <f t="shared" si="10"/>
        <v/>
      </c>
      <c r="BG14" s="40" t="str">
        <f t="shared" si="10"/>
        <v/>
      </c>
      <c r="BH14" s="40" t="str">
        <f t="shared" si="10"/>
        <v/>
      </c>
      <c r="BI14" s="40" t="str">
        <f t="shared" si="10"/>
        <v/>
      </c>
      <c r="BJ14" s="40" t="str">
        <f t="shared" ref="BJ14:BS14" si="11">IF(AND(BJ$10=$C14,BJ$10=$D14),(($K14/$E14)*BJ$6),IF(AND(BJ$10&gt;=$C14,BJ$10&lt;=$D14),(($K14/$E14)*BJ$6),""))</f>
        <v/>
      </c>
      <c r="BK14" s="40" t="str">
        <f t="shared" si="11"/>
        <v/>
      </c>
      <c r="BL14" s="40" t="str">
        <f t="shared" si="11"/>
        <v/>
      </c>
      <c r="BM14" s="40" t="str">
        <f t="shared" si="11"/>
        <v/>
      </c>
      <c r="BN14" s="40" t="str">
        <f t="shared" si="11"/>
        <v/>
      </c>
      <c r="BO14" s="40" t="str">
        <f t="shared" si="11"/>
        <v/>
      </c>
      <c r="BP14" s="40" t="str">
        <f t="shared" si="11"/>
        <v/>
      </c>
      <c r="BQ14" s="40" t="str">
        <f t="shared" si="11"/>
        <v/>
      </c>
      <c r="BR14" s="40" t="str">
        <f t="shared" si="11"/>
        <v/>
      </c>
      <c r="BS14" s="40" t="str">
        <f t="shared" si="11"/>
        <v/>
      </c>
      <c r="BT14" s="113">
        <f t="shared" si="8"/>
        <v>13508840.371950464</v>
      </c>
    </row>
    <row r="15" spans="1:73">
      <c r="A15" s="192"/>
      <c r="B15" s="188" t="s">
        <v>154</v>
      </c>
      <c r="C15" s="139">
        <f>'T-Transportation'!G29</f>
        <v>2042</v>
      </c>
      <c r="D15" s="184">
        <f>'T-Transportation'!H29</f>
        <v>2043</v>
      </c>
      <c r="E15" s="189">
        <f>(D15-C15)+1</f>
        <v>2</v>
      </c>
      <c r="F15" s="185">
        <f>'T-Transportation'!P29</f>
        <v>2177962.7441937504</v>
      </c>
      <c r="G15" s="140"/>
      <c r="H15" s="190">
        <f>+Table1957810111213142361727281516171872021[[#This Row],[f]]-Table1957810111213142361727281516171872021[[#This Row],[g]]</f>
        <v>2177962.7441937504</v>
      </c>
      <c r="I15" s="186">
        <f>'T-Transportation'!$I$23</f>
        <v>0.91500000000000004</v>
      </c>
      <c r="J15" s="187">
        <f>1-Table1957810111213142361727281516171872021[[#This Row],[i]]</f>
        <v>8.4999999999999964E-2</v>
      </c>
      <c r="K15" s="191">
        <f>(Table1957810111213142361727281516171872021[[#This Row],[h]]*Table1957810111213142361727281516171872021[[#This Row],[i]])</f>
        <v>1992835.9109372818</v>
      </c>
      <c r="L15" s="40" t="str">
        <f t="shared" si="9"/>
        <v/>
      </c>
      <c r="M15" s="40" t="str">
        <f t="shared" si="9"/>
        <v/>
      </c>
      <c r="N15" s="40" t="str">
        <f t="shared" si="9"/>
        <v/>
      </c>
      <c r="O15" s="40" t="str">
        <f t="shared" si="9"/>
        <v/>
      </c>
      <c r="P15" s="40" t="str">
        <f t="shared" si="9"/>
        <v/>
      </c>
      <c r="Q15" s="40" t="str">
        <f t="shared" si="9"/>
        <v/>
      </c>
      <c r="R15" s="40" t="str">
        <f t="shared" si="9"/>
        <v/>
      </c>
      <c r="S15" s="40" t="str">
        <f t="shared" si="9"/>
        <v/>
      </c>
      <c r="T15" s="40" t="str">
        <f t="shared" si="9"/>
        <v/>
      </c>
      <c r="U15" s="40" t="str">
        <f t="shared" si="9"/>
        <v/>
      </c>
      <c r="V15" s="40" t="str">
        <f t="shared" si="9"/>
        <v/>
      </c>
      <c r="W15" s="40" t="str">
        <f t="shared" si="9"/>
        <v/>
      </c>
      <c r="X15" s="40" t="str">
        <f t="shared" si="9"/>
        <v/>
      </c>
      <c r="Y15" s="40" t="str">
        <f t="shared" si="9"/>
        <v/>
      </c>
      <c r="Z15" s="40" t="str">
        <f t="shared" si="9"/>
        <v/>
      </c>
      <c r="AA15" s="40" t="str">
        <f t="shared" si="9"/>
        <v/>
      </c>
      <c r="AB15" s="40">
        <f t="shared" ref="AB15:AQ16" si="12">IF(AND(AB$10=$C15,AB$10=$D15),(($K15/$E15)*AB$6),IF(AND(AB$10&gt;=$C15,AB$10&lt;=$D15),(($K15/$E15)*AB$6),""))</f>
        <v>1479188.0554203033</v>
      </c>
      <c r="AC15" s="40">
        <f t="shared" si="12"/>
        <v>1516167.7568058106</v>
      </c>
      <c r="AD15" s="40" t="str">
        <f t="shared" si="12"/>
        <v/>
      </c>
      <c r="AE15" s="40" t="str">
        <f t="shared" si="12"/>
        <v/>
      </c>
      <c r="AF15" s="40" t="str">
        <f t="shared" si="12"/>
        <v/>
      </c>
      <c r="AG15" s="40" t="str">
        <f t="shared" si="12"/>
        <v/>
      </c>
      <c r="AH15" s="40" t="str">
        <f t="shared" si="12"/>
        <v/>
      </c>
      <c r="AI15" s="40" t="str">
        <f t="shared" si="12"/>
        <v/>
      </c>
      <c r="AJ15" s="40" t="str">
        <f t="shared" si="12"/>
        <v/>
      </c>
      <c r="AK15" s="40" t="str">
        <f t="shared" si="12"/>
        <v/>
      </c>
      <c r="AL15" s="40" t="str">
        <f t="shared" si="12"/>
        <v/>
      </c>
      <c r="AM15" s="40" t="str">
        <f t="shared" si="12"/>
        <v/>
      </c>
      <c r="AN15" s="40" t="str">
        <f t="shared" si="12"/>
        <v/>
      </c>
      <c r="AO15" s="40" t="str">
        <f t="shared" si="12"/>
        <v/>
      </c>
      <c r="AP15" s="40" t="str">
        <f t="shared" si="12"/>
        <v/>
      </c>
      <c r="AQ15" s="40" t="str">
        <f t="shared" si="12"/>
        <v/>
      </c>
      <c r="AR15" s="40" t="str">
        <f t="shared" ref="AR15:BG16" si="13">IF(AND(AR$10=$C15,AR$10=$D15),(($K15/$E15)*AR$6),IF(AND(AR$10&gt;=$C15,AR$10&lt;=$D15),(($K15/$E15)*AR$6),""))</f>
        <v/>
      </c>
      <c r="AS15" s="40" t="str">
        <f t="shared" si="13"/>
        <v/>
      </c>
      <c r="AT15" s="40" t="str">
        <f t="shared" si="13"/>
        <v/>
      </c>
      <c r="AU15" s="40" t="str">
        <f t="shared" si="13"/>
        <v/>
      </c>
      <c r="AV15" s="40" t="str">
        <f t="shared" si="13"/>
        <v/>
      </c>
      <c r="AW15" s="40" t="str">
        <f t="shared" si="13"/>
        <v/>
      </c>
      <c r="AX15" s="40" t="str">
        <f t="shared" si="13"/>
        <v/>
      </c>
      <c r="AY15" s="40" t="str">
        <f t="shared" si="13"/>
        <v/>
      </c>
      <c r="AZ15" s="40" t="str">
        <f t="shared" si="13"/>
        <v/>
      </c>
      <c r="BA15" s="40" t="str">
        <f t="shared" si="13"/>
        <v/>
      </c>
      <c r="BB15" s="40" t="str">
        <f t="shared" si="13"/>
        <v/>
      </c>
      <c r="BC15" s="40" t="str">
        <f t="shared" si="13"/>
        <v/>
      </c>
      <c r="BD15" s="40" t="str">
        <f t="shared" si="13"/>
        <v/>
      </c>
      <c r="BE15" s="40" t="str">
        <f t="shared" si="13"/>
        <v/>
      </c>
      <c r="BF15" s="40" t="str">
        <f t="shared" si="13"/>
        <v/>
      </c>
      <c r="BG15" s="40" t="str">
        <f t="shared" si="13"/>
        <v/>
      </c>
      <c r="BH15" s="40" t="str">
        <f t="shared" ref="BH15:BS16" si="14">IF(AND(BH$10=$C15,BH$10=$D15),(($K15/$E15)*BH$6),IF(AND(BH$10&gt;=$C15,BH$10&lt;=$D15),(($K15/$E15)*BH$6),""))</f>
        <v/>
      </c>
      <c r="BI15" s="40" t="str">
        <f t="shared" si="14"/>
        <v/>
      </c>
      <c r="BJ15" s="40" t="str">
        <f t="shared" si="14"/>
        <v/>
      </c>
      <c r="BK15" s="40" t="str">
        <f t="shared" si="14"/>
        <v/>
      </c>
      <c r="BL15" s="40" t="str">
        <f t="shared" si="14"/>
        <v/>
      </c>
      <c r="BM15" s="40" t="str">
        <f t="shared" si="14"/>
        <v/>
      </c>
      <c r="BN15" s="40" t="str">
        <f t="shared" si="14"/>
        <v/>
      </c>
      <c r="BO15" s="40" t="str">
        <f t="shared" si="14"/>
        <v/>
      </c>
      <c r="BP15" s="40" t="str">
        <f t="shared" si="14"/>
        <v/>
      </c>
      <c r="BQ15" s="40" t="str">
        <f t="shared" si="14"/>
        <v/>
      </c>
      <c r="BR15" s="40" t="str">
        <f t="shared" si="14"/>
        <v/>
      </c>
      <c r="BS15" s="40" t="str">
        <f t="shared" si="14"/>
        <v/>
      </c>
      <c r="BT15" s="113">
        <f t="shared" si="8"/>
        <v>2995355.8122261139</v>
      </c>
    </row>
    <row r="16" spans="1:73">
      <c r="A16" s="192"/>
      <c r="B16" s="193" t="s">
        <v>158</v>
      </c>
      <c r="C16" s="139">
        <f>'T-Transportation'!G30</f>
        <v>2047</v>
      </c>
      <c r="D16" s="184">
        <f>'T-Transportation'!H30</f>
        <v>2048</v>
      </c>
      <c r="E16" s="189">
        <f>(D16-C16)+1</f>
        <v>2</v>
      </c>
      <c r="F16" s="185">
        <f>'T-Transportation'!P30</f>
        <v>7319888.1746270834</v>
      </c>
      <c r="G16" s="140"/>
      <c r="H16" s="190">
        <f>+Table1957810111213142361727281516171872021[[#This Row],[f]]-Table1957810111213142361727281516171872021[[#This Row],[g]]</f>
        <v>7319888.1746270834</v>
      </c>
      <c r="I16" s="186">
        <f>'T-Transportation'!$I$23</f>
        <v>0.91500000000000004</v>
      </c>
      <c r="J16" s="187">
        <f>1-Table1957810111213142361727281516171872021[[#This Row],[i]]</f>
        <v>8.4999999999999964E-2</v>
      </c>
      <c r="K16" s="191">
        <f>(Table1957810111213142361727281516171872021[[#This Row],[h]]*Table1957810111213142361727281516171872021[[#This Row],[i]])</f>
        <v>6697697.679783782</v>
      </c>
      <c r="L16" s="40" t="str">
        <f t="shared" si="9"/>
        <v/>
      </c>
      <c r="M16" s="40" t="str">
        <f t="shared" si="9"/>
        <v/>
      </c>
      <c r="N16" s="40" t="str">
        <f t="shared" si="9"/>
        <v/>
      </c>
      <c r="O16" s="40" t="str">
        <f t="shared" si="9"/>
        <v/>
      </c>
      <c r="P16" s="40" t="str">
        <f t="shared" si="9"/>
        <v/>
      </c>
      <c r="Q16" s="40" t="str">
        <f t="shared" si="9"/>
        <v/>
      </c>
      <c r="R16" s="40" t="str">
        <f t="shared" si="9"/>
        <v/>
      </c>
      <c r="S16" s="40" t="str">
        <f t="shared" si="9"/>
        <v/>
      </c>
      <c r="T16" s="40" t="str">
        <f t="shared" si="9"/>
        <v/>
      </c>
      <c r="U16" s="40" t="str">
        <f t="shared" si="9"/>
        <v/>
      </c>
      <c r="V16" s="40" t="str">
        <f t="shared" si="9"/>
        <v/>
      </c>
      <c r="W16" s="40" t="str">
        <f t="shared" si="9"/>
        <v/>
      </c>
      <c r="X16" s="40" t="str">
        <f t="shared" si="9"/>
        <v/>
      </c>
      <c r="Y16" s="40" t="str">
        <f t="shared" si="9"/>
        <v/>
      </c>
      <c r="Z16" s="40" t="str">
        <f t="shared" si="9"/>
        <v/>
      </c>
      <c r="AA16" s="40" t="str">
        <f t="shared" si="9"/>
        <v/>
      </c>
      <c r="AB16" s="40" t="str">
        <f t="shared" si="12"/>
        <v/>
      </c>
      <c r="AC16" s="40" t="str">
        <f t="shared" si="12"/>
        <v/>
      </c>
      <c r="AD16" s="40" t="str">
        <f t="shared" si="12"/>
        <v/>
      </c>
      <c r="AE16" s="40" t="str">
        <f t="shared" si="12"/>
        <v/>
      </c>
      <c r="AF16" s="40" t="str">
        <f t="shared" si="12"/>
        <v/>
      </c>
      <c r="AG16" s="40">
        <f t="shared" si="12"/>
        <v>5624665.7342216233</v>
      </c>
      <c r="AH16" s="40">
        <f t="shared" si="12"/>
        <v>5765282.3775771623</v>
      </c>
      <c r="AI16" s="40" t="str">
        <f t="shared" si="12"/>
        <v/>
      </c>
      <c r="AJ16" s="40" t="str">
        <f t="shared" si="12"/>
        <v/>
      </c>
      <c r="AK16" s="40" t="str">
        <f t="shared" si="12"/>
        <v/>
      </c>
      <c r="AL16" s="40" t="str">
        <f t="shared" si="12"/>
        <v/>
      </c>
      <c r="AM16" s="40" t="str">
        <f t="shared" si="12"/>
        <v/>
      </c>
      <c r="AN16" s="40" t="str">
        <f t="shared" si="12"/>
        <v/>
      </c>
      <c r="AO16" s="40" t="str">
        <f t="shared" si="12"/>
        <v/>
      </c>
      <c r="AP16" s="40" t="str">
        <f t="shared" si="12"/>
        <v/>
      </c>
      <c r="AQ16" s="40" t="str">
        <f t="shared" si="12"/>
        <v/>
      </c>
      <c r="AR16" s="40" t="str">
        <f t="shared" si="13"/>
        <v/>
      </c>
      <c r="AS16" s="40" t="str">
        <f t="shared" si="13"/>
        <v/>
      </c>
      <c r="AT16" s="40" t="str">
        <f t="shared" si="13"/>
        <v/>
      </c>
      <c r="AU16" s="40" t="str">
        <f t="shared" si="13"/>
        <v/>
      </c>
      <c r="AV16" s="40" t="str">
        <f t="shared" si="13"/>
        <v/>
      </c>
      <c r="AW16" s="40" t="str">
        <f t="shared" si="13"/>
        <v/>
      </c>
      <c r="AX16" s="40" t="str">
        <f t="shared" si="13"/>
        <v/>
      </c>
      <c r="AY16" s="40" t="str">
        <f t="shared" si="13"/>
        <v/>
      </c>
      <c r="AZ16" s="40" t="str">
        <f t="shared" si="13"/>
        <v/>
      </c>
      <c r="BA16" s="40" t="str">
        <f t="shared" si="13"/>
        <v/>
      </c>
      <c r="BB16" s="40" t="str">
        <f t="shared" si="13"/>
        <v/>
      </c>
      <c r="BC16" s="40" t="str">
        <f t="shared" si="13"/>
        <v/>
      </c>
      <c r="BD16" s="40" t="str">
        <f t="shared" si="13"/>
        <v/>
      </c>
      <c r="BE16" s="40" t="str">
        <f t="shared" si="13"/>
        <v/>
      </c>
      <c r="BF16" s="40" t="str">
        <f t="shared" si="13"/>
        <v/>
      </c>
      <c r="BG16" s="40" t="str">
        <f t="shared" si="13"/>
        <v/>
      </c>
      <c r="BH16" s="40" t="str">
        <f t="shared" si="14"/>
        <v/>
      </c>
      <c r="BI16" s="40" t="str">
        <f t="shared" si="14"/>
        <v/>
      </c>
      <c r="BJ16" s="40" t="str">
        <f t="shared" si="14"/>
        <v/>
      </c>
      <c r="BK16" s="40" t="str">
        <f t="shared" si="14"/>
        <v/>
      </c>
      <c r="BL16" s="40" t="str">
        <f t="shared" si="14"/>
        <v/>
      </c>
      <c r="BM16" s="40" t="str">
        <f t="shared" si="14"/>
        <v/>
      </c>
      <c r="BN16" s="40" t="str">
        <f t="shared" si="14"/>
        <v/>
      </c>
      <c r="BO16" s="40" t="str">
        <f t="shared" si="14"/>
        <v/>
      </c>
      <c r="BP16" s="40" t="str">
        <f t="shared" si="14"/>
        <v/>
      </c>
      <c r="BQ16" s="40" t="str">
        <f t="shared" si="14"/>
        <v/>
      </c>
      <c r="BR16" s="40" t="str">
        <f t="shared" si="14"/>
        <v/>
      </c>
      <c r="BS16" s="40" t="str">
        <f t="shared" si="14"/>
        <v/>
      </c>
      <c r="BT16" s="113">
        <f t="shared" si="8"/>
        <v>11389948.111798786</v>
      </c>
    </row>
    <row r="17" spans="1:72" ht="15" thickBot="1">
      <c r="A17" s="192"/>
      <c r="B17" s="193" t="s">
        <v>173</v>
      </c>
      <c r="C17" s="139">
        <f>'T-Transportation'!G31</f>
        <v>2050</v>
      </c>
      <c r="D17" s="184">
        <f>'T-Transportation'!H31</f>
        <v>2051</v>
      </c>
      <c r="E17" s="189">
        <f>(D17-C17)+1</f>
        <v>2</v>
      </c>
      <c r="F17" s="185">
        <f>'T-Transportation'!P31</f>
        <v>5141925.4304333329</v>
      </c>
      <c r="G17" s="140"/>
      <c r="H17" s="190">
        <f>+Table1957810111213142361727281516171872021[[#This Row],[f]]-Table1957810111213142361727281516171872021[[#This Row],[g]]</f>
        <v>5141925.4304333329</v>
      </c>
      <c r="I17" s="186">
        <f>'T-Transportation'!$I$23</f>
        <v>0.91500000000000004</v>
      </c>
      <c r="J17" s="187">
        <f>1-Table1957810111213142361727281516171872021[[#This Row],[i]]</f>
        <v>8.4999999999999964E-2</v>
      </c>
      <c r="K17" s="191">
        <f>(Table1957810111213142361727281516171872021[[#This Row],[h]]*Table1957810111213142361727281516171872021[[#This Row],[i]])</f>
        <v>4704861.7688464997</v>
      </c>
      <c r="L17" s="40" t="str">
        <f t="shared" si="9"/>
        <v/>
      </c>
      <c r="M17" s="40" t="str">
        <f t="shared" si="10"/>
        <v/>
      </c>
      <c r="N17" s="40" t="str">
        <f t="shared" si="10"/>
        <v/>
      </c>
      <c r="O17" s="40" t="str">
        <f t="shared" si="10"/>
        <v/>
      </c>
      <c r="P17" s="40" t="str">
        <f t="shared" si="10"/>
        <v/>
      </c>
      <c r="Q17" s="40" t="str">
        <f t="shared" si="10"/>
        <v/>
      </c>
      <c r="R17" s="40" t="str">
        <f t="shared" si="10"/>
        <v/>
      </c>
      <c r="S17" s="40" t="str">
        <f t="shared" si="10"/>
        <v/>
      </c>
      <c r="T17" s="40" t="str">
        <f t="shared" si="10"/>
        <v/>
      </c>
      <c r="U17" s="40" t="str">
        <f t="shared" si="10"/>
        <v/>
      </c>
      <c r="V17" s="40" t="str">
        <f t="shared" si="10"/>
        <v/>
      </c>
      <c r="W17" s="40" t="str">
        <f t="shared" si="10"/>
        <v/>
      </c>
      <c r="X17" s="40" t="str">
        <f t="shared" si="10"/>
        <v/>
      </c>
      <c r="Y17" s="40" t="str">
        <f t="shared" si="10"/>
        <v/>
      </c>
      <c r="Z17" s="40" t="str">
        <f t="shared" si="10"/>
        <v/>
      </c>
      <c r="AA17" s="40" t="str">
        <f t="shared" si="10"/>
        <v/>
      </c>
      <c r="AB17" s="40" t="str">
        <f t="shared" si="10"/>
        <v/>
      </c>
      <c r="AC17" s="40" t="str">
        <f t="shared" si="10"/>
        <v/>
      </c>
      <c r="AD17" s="40" t="str">
        <f t="shared" si="10"/>
        <v/>
      </c>
      <c r="AE17" s="40" t="str">
        <f t="shared" si="10"/>
        <v/>
      </c>
      <c r="AF17" s="40" t="str">
        <f t="shared" si="10"/>
        <v/>
      </c>
      <c r="AG17" s="40" t="str">
        <f t="shared" si="10"/>
        <v/>
      </c>
      <c r="AH17" s="40" t="str">
        <f t="shared" si="10"/>
        <v/>
      </c>
      <c r="AI17" s="40" t="str">
        <f t="shared" si="10"/>
        <v/>
      </c>
      <c r="AJ17" s="40">
        <f t="shared" si="10"/>
        <v>4254902.7852558475</v>
      </c>
      <c r="AK17" s="40">
        <f t="shared" si="10"/>
        <v>4361275.3548872434</v>
      </c>
      <c r="AL17" s="40" t="str">
        <f t="shared" si="10"/>
        <v/>
      </c>
      <c r="AM17" s="40" t="str">
        <f t="shared" si="10"/>
        <v/>
      </c>
      <c r="AN17" s="40" t="str">
        <f t="shared" si="10"/>
        <v/>
      </c>
      <c r="AO17" s="40" t="str">
        <f t="shared" si="10"/>
        <v/>
      </c>
      <c r="AP17" s="40" t="str">
        <f t="shared" si="10"/>
        <v/>
      </c>
      <c r="AQ17" s="40" t="str">
        <f t="shared" si="10"/>
        <v/>
      </c>
      <c r="AR17" s="40" t="str">
        <f t="shared" si="10"/>
        <v/>
      </c>
      <c r="AS17" s="40" t="str">
        <f t="shared" si="10"/>
        <v/>
      </c>
      <c r="AT17" s="40" t="str">
        <f t="shared" si="10"/>
        <v/>
      </c>
      <c r="AU17" s="40" t="str">
        <f t="shared" si="10"/>
        <v/>
      </c>
      <c r="AV17" s="40" t="str">
        <f t="shared" si="10"/>
        <v/>
      </c>
      <c r="AW17" s="40" t="str">
        <f t="shared" si="10"/>
        <v/>
      </c>
      <c r="AX17" s="40" t="str">
        <f t="shared" si="10"/>
        <v/>
      </c>
      <c r="AY17" s="40" t="str">
        <f t="shared" si="10"/>
        <v/>
      </c>
      <c r="AZ17" s="40" t="str">
        <f t="shared" si="10"/>
        <v/>
      </c>
      <c r="BA17" s="40" t="str">
        <f t="shared" si="10"/>
        <v/>
      </c>
      <c r="BB17" s="40" t="str">
        <f t="shared" si="10"/>
        <v/>
      </c>
      <c r="BC17" s="40" t="str">
        <f t="shared" si="10"/>
        <v/>
      </c>
      <c r="BD17" s="40" t="str">
        <f t="shared" si="10"/>
        <v/>
      </c>
      <c r="BE17" s="40" t="str">
        <f t="shared" si="10"/>
        <v/>
      </c>
      <c r="BF17" s="40" t="str">
        <f t="shared" si="10"/>
        <v/>
      </c>
      <c r="BG17" s="40" t="str">
        <f t="shared" si="10"/>
        <v/>
      </c>
      <c r="BH17" s="40" t="str">
        <f t="shared" si="10"/>
        <v/>
      </c>
      <c r="BI17" s="40" t="str">
        <f t="shared" si="10"/>
        <v/>
      </c>
      <c r="BJ17" s="40" t="str">
        <f t="shared" si="10"/>
        <v/>
      </c>
      <c r="BK17" s="40" t="str">
        <f t="shared" si="10"/>
        <v/>
      </c>
      <c r="BL17" s="40" t="str">
        <f t="shared" si="10"/>
        <v/>
      </c>
      <c r="BM17" s="40" t="str">
        <f t="shared" si="10"/>
        <v/>
      </c>
      <c r="BN17" s="40" t="str">
        <f t="shared" si="10"/>
        <v/>
      </c>
      <c r="BO17" s="40" t="str">
        <f t="shared" si="10"/>
        <v/>
      </c>
      <c r="BP17" s="40" t="str">
        <f t="shared" si="10"/>
        <v/>
      </c>
      <c r="BQ17" s="40" t="str">
        <f t="shared" si="10"/>
        <v/>
      </c>
      <c r="BR17" s="40" t="str">
        <f t="shared" si="10"/>
        <v/>
      </c>
      <c r="BS17" s="40" t="str">
        <f t="shared" si="10"/>
        <v/>
      </c>
      <c r="BT17" s="113">
        <f t="shared" si="8"/>
        <v>8616178.1401430909</v>
      </c>
    </row>
    <row r="18" spans="1:72" ht="15" customHeight="1" thickTop="1" thickBot="1">
      <c r="A18" s="6"/>
      <c r="B18" s="6"/>
      <c r="C18" s="6"/>
      <c r="D18" s="6"/>
      <c r="E18" s="6"/>
      <c r="F18" s="12">
        <f>SUM(Table1957810111213142361727281516171872021[f])</f>
        <v>32849478.244850002</v>
      </c>
      <c r="G18" s="12"/>
      <c r="H18" s="12"/>
      <c r="I18" s="12"/>
      <c r="J18" s="12"/>
      <c r="K18" s="7">
        <f>SUM(Table1957810111213142361727281516171872021[k])</f>
        <v>30057272.594037753</v>
      </c>
      <c r="L18" s="7">
        <f>+SUM(L12:L17)</f>
        <v>0</v>
      </c>
      <c r="M18" s="7">
        <f t="shared" ref="M18:BS18" si="15">+SUM(M12:M17)</f>
        <v>3063985.2130660699</v>
      </c>
      <c r="N18" s="7">
        <f t="shared" si="15"/>
        <v>3140584.8433927214</v>
      </c>
      <c r="O18" s="7">
        <f t="shared" si="15"/>
        <v>0</v>
      </c>
      <c r="P18" s="7">
        <f t="shared" si="15"/>
        <v>0</v>
      </c>
      <c r="Q18" s="7">
        <f t="shared" si="15"/>
        <v>0</v>
      </c>
      <c r="R18" s="7">
        <f t="shared" si="15"/>
        <v>0</v>
      </c>
      <c r="S18" s="7">
        <f t="shared" si="15"/>
        <v>0</v>
      </c>
      <c r="T18" s="7">
        <f t="shared" si="15"/>
        <v>0</v>
      </c>
      <c r="U18" s="7">
        <f t="shared" si="15"/>
        <v>6671032.2824446745</v>
      </c>
      <c r="V18" s="7">
        <f t="shared" si="15"/>
        <v>6837808.0895057898</v>
      </c>
      <c r="W18" s="7">
        <f t="shared" si="15"/>
        <v>0</v>
      </c>
      <c r="X18" s="7">
        <f t="shared" si="15"/>
        <v>0</v>
      </c>
      <c r="Y18" s="7">
        <f t="shared" si="15"/>
        <v>0</v>
      </c>
      <c r="Z18" s="7">
        <f t="shared" si="15"/>
        <v>0</v>
      </c>
      <c r="AA18" s="7">
        <f t="shared" si="15"/>
        <v>0</v>
      </c>
      <c r="AB18" s="7">
        <f t="shared" si="15"/>
        <v>1479188.0554203033</v>
      </c>
      <c r="AC18" s="7">
        <f t="shared" si="15"/>
        <v>1516167.7568058106</v>
      </c>
      <c r="AD18" s="7">
        <f t="shared" si="15"/>
        <v>0</v>
      </c>
      <c r="AE18" s="7">
        <f t="shared" si="15"/>
        <v>0</v>
      </c>
      <c r="AF18" s="7">
        <f t="shared" si="15"/>
        <v>0</v>
      </c>
      <c r="AG18" s="7">
        <f t="shared" si="15"/>
        <v>5624665.7342216233</v>
      </c>
      <c r="AH18" s="7">
        <f t="shared" si="15"/>
        <v>5765282.3775771623</v>
      </c>
      <c r="AI18" s="7">
        <f t="shared" si="15"/>
        <v>0</v>
      </c>
      <c r="AJ18" s="7">
        <f t="shared" si="15"/>
        <v>4254902.7852558475</v>
      </c>
      <c r="AK18" s="7">
        <f t="shared" si="15"/>
        <v>4361275.3548872434</v>
      </c>
      <c r="AL18" s="7">
        <f t="shared" si="15"/>
        <v>0</v>
      </c>
      <c r="AM18" s="7">
        <f t="shared" si="15"/>
        <v>0</v>
      </c>
      <c r="AN18" s="7">
        <f t="shared" si="15"/>
        <v>0</v>
      </c>
      <c r="AO18" s="7">
        <f t="shared" si="15"/>
        <v>0</v>
      </c>
      <c r="AP18" s="7">
        <f t="shared" si="15"/>
        <v>0</v>
      </c>
      <c r="AQ18" s="7">
        <f t="shared" si="15"/>
        <v>0</v>
      </c>
      <c r="AR18" s="7">
        <f t="shared" si="15"/>
        <v>0</v>
      </c>
      <c r="AS18" s="7">
        <f t="shared" si="15"/>
        <v>0</v>
      </c>
      <c r="AT18" s="7">
        <f t="shared" si="15"/>
        <v>0</v>
      </c>
      <c r="AU18" s="7">
        <f t="shared" si="15"/>
        <v>0</v>
      </c>
      <c r="AV18" s="7">
        <f t="shared" si="15"/>
        <v>0</v>
      </c>
      <c r="AW18" s="7">
        <f t="shared" si="15"/>
        <v>0</v>
      </c>
      <c r="AX18" s="7">
        <f t="shared" si="15"/>
        <v>0</v>
      </c>
      <c r="AY18" s="7">
        <f t="shared" si="15"/>
        <v>0</v>
      </c>
      <c r="AZ18" s="7">
        <f t="shared" si="15"/>
        <v>0</v>
      </c>
      <c r="BA18" s="7">
        <f t="shared" si="15"/>
        <v>0</v>
      </c>
      <c r="BB18" s="7">
        <f t="shared" si="15"/>
        <v>0</v>
      </c>
      <c r="BC18" s="7">
        <f t="shared" si="15"/>
        <v>0</v>
      </c>
      <c r="BD18" s="7">
        <f t="shared" si="15"/>
        <v>0</v>
      </c>
      <c r="BE18" s="7">
        <f t="shared" si="15"/>
        <v>0</v>
      </c>
      <c r="BF18" s="7">
        <f t="shared" si="15"/>
        <v>0</v>
      </c>
      <c r="BG18" s="7">
        <f t="shared" si="15"/>
        <v>0</v>
      </c>
      <c r="BH18" s="7">
        <f t="shared" si="15"/>
        <v>0</v>
      </c>
      <c r="BI18" s="7">
        <f t="shared" si="15"/>
        <v>0</v>
      </c>
      <c r="BJ18" s="7">
        <f t="shared" si="15"/>
        <v>0</v>
      </c>
      <c r="BK18" s="7">
        <f t="shared" si="15"/>
        <v>0</v>
      </c>
      <c r="BL18" s="7">
        <f t="shared" si="15"/>
        <v>0</v>
      </c>
      <c r="BM18" s="7">
        <f t="shared" si="15"/>
        <v>0</v>
      </c>
      <c r="BN18" s="7">
        <f t="shared" si="15"/>
        <v>0</v>
      </c>
      <c r="BO18" s="7">
        <f t="shared" si="15"/>
        <v>0</v>
      </c>
      <c r="BP18" s="7">
        <f t="shared" si="15"/>
        <v>0</v>
      </c>
      <c r="BQ18" s="7">
        <f t="shared" si="15"/>
        <v>0</v>
      </c>
      <c r="BR18" s="7">
        <f t="shared" si="15"/>
        <v>0</v>
      </c>
      <c r="BS18" s="7">
        <f t="shared" si="15"/>
        <v>0</v>
      </c>
      <c r="BT18" s="7">
        <f>SUM(BT12:BT17)</f>
        <v>42714892.492577247</v>
      </c>
    </row>
    <row r="20" spans="1:72" hidden="1"/>
    <row r="21" spans="1:72" hidden="1"/>
    <row r="22" spans="1:72" hidden="1"/>
    <row r="23" spans="1:72" hidden="1"/>
    <row r="24" spans="1:72" hidden="1"/>
    <row r="25" spans="1:72" ht="15" thickBot="1">
      <c r="G25"/>
      <c r="H25"/>
      <c r="I25"/>
    </row>
    <row r="26" spans="1:72">
      <c r="A26" s="102"/>
      <c r="B26" s="19">
        <v>1</v>
      </c>
      <c r="C26" s="20">
        <v>2</v>
      </c>
      <c r="D26" s="20">
        <v>3</v>
      </c>
      <c r="E26" s="20">
        <v>4</v>
      </c>
      <c r="F26" s="20">
        <v>5</v>
      </c>
      <c r="G26" s="20">
        <v>6</v>
      </c>
      <c r="H26" s="20"/>
      <c r="I26" s="20">
        <v>7</v>
      </c>
      <c r="J26" s="20">
        <v>8</v>
      </c>
      <c r="K26" s="20">
        <v>9</v>
      </c>
      <c r="L26" s="25">
        <v>10</v>
      </c>
      <c r="M26" s="26">
        <v>11</v>
      </c>
      <c r="N26" s="27">
        <v>12</v>
      </c>
    </row>
    <row r="27" spans="1:72" ht="30.75" customHeight="1">
      <c r="A27" s="103"/>
      <c r="B27" s="74" t="s">
        <v>38</v>
      </c>
      <c r="C27" s="696" t="s">
        <v>37</v>
      </c>
      <c r="D27" s="696" t="s">
        <v>181</v>
      </c>
      <c r="E27" s="696" t="s">
        <v>185</v>
      </c>
      <c r="F27" s="696" t="s">
        <v>166</v>
      </c>
      <c r="G27" s="211" t="s">
        <v>36</v>
      </c>
      <c r="H27" s="696" t="s">
        <v>164</v>
      </c>
      <c r="I27" s="23"/>
      <c r="J27" s="695" t="s">
        <v>35</v>
      </c>
      <c r="K27" s="696" t="s">
        <v>34</v>
      </c>
      <c r="L27" s="697" t="s">
        <v>186</v>
      </c>
      <c r="M27" s="698"/>
      <c r="N27" s="699" t="s">
        <v>33</v>
      </c>
    </row>
    <row r="28" spans="1:72">
      <c r="A28" s="103"/>
      <c r="B28" s="74"/>
      <c r="C28" s="696"/>
      <c r="D28" s="696"/>
      <c r="E28" s="696"/>
      <c r="F28" s="696"/>
      <c r="G28" s="22"/>
      <c r="H28" s="696"/>
      <c r="I28" s="255">
        <v>46333.610029926363</v>
      </c>
      <c r="J28" s="695"/>
      <c r="K28" s="696"/>
      <c r="L28" s="700"/>
      <c r="M28" s="701"/>
      <c r="N28" s="699"/>
    </row>
    <row r="29" spans="1:72">
      <c r="A29" s="102"/>
      <c r="B29" s="21"/>
      <c r="C29" s="696"/>
      <c r="D29" s="696"/>
      <c r="E29" s="696"/>
      <c r="F29" s="696"/>
      <c r="G29" s="22"/>
      <c r="H29" s="696"/>
      <c r="I29" s="22"/>
      <c r="J29" s="22"/>
      <c r="K29" s="696"/>
      <c r="L29" s="18"/>
      <c r="M29" s="17"/>
      <c r="N29" s="699"/>
    </row>
    <row r="30" spans="1:72">
      <c r="A30" s="102"/>
      <c r="B30" s="21"/>
      <c r="C30" s="50"/>
      <c r="D30" s="696"/>
      <c r="E30" s="50"/>
      <c r="F30" s="50"/>
      <c r="G30" s="22"/>
      <c r="H30" s="696"/>
      <c r="I30" s="89"/>
      <c r="J30" s="22"/>
      <c r="K30" s="22"/>
      <c r="L30" s="49" t="s">
        <v>7</v>
      </c>
      <c r="M30" s="90" t="s">
        <v>8</v>
      </c>
      <c r="N30" s="699"/>
    </row>
    <row r="31" spans="1:72">
      <c r="A31" s="104"/>
      <c r="B31" s="91"/>
      <c r="C31" s="50"/>
      <c r="D31" s="231" t="s">
        <v>7</v>
      </c>
      <c r="E31" s="50" t="s">
        <v>8</v>
      </c>
      <c r="F31" s="50" t="s">
        <v>8</v>
      </c>
      <c r="G31" s="22"/>
      <c r="H31" s="22"/>
      <c r="I31" s="92" t="s">
        <v>11</v>
      </c>
      <c r="J31" s="22"/>
      <c r="K31" s="22"/>
      <c r="L31" s="489">
        <f>Assumptions!$B$6</f>
        <v>2.6740000000000003E-2</v>
      </c>
      <c r="M31" s="93">
        <f>Assumptions!B8</f>
        <v>0</v>
      </c>
      <c r="N31" s="699"/>
    </row>
    <row r="32" spans="1:72" ht="15" thickBot="1">
      <c r="A32" s="104"/>
      <c r="B32" s="241"/>
      <c r="C32" s="243"/>
      <c r="D32" s="243"/>
      <c r="E32" s="243"/>
      <c r="F32" s="244"/>
      <c r="G32" s="243"/>
      <c r="H32" s="243"/>
      <c r="I32" s="243">
        <f>L10</f>
        <v>2026</v>
      </c>
      <c r="J32" s="245" t="s">
        <v>182</v>
      </c>
      <c r="K32" s="245" t="s">
        <v>183</v>
      </c>
      <c r="L32" s="246"/>
      <c r="M32" s="247"/>
      <c r="N32" s="248" t="s">
        <v>184</v>
      </c>
    </row>
    <row r="33" spans="1:16" hidden="1">
      <c r="B33" s="239">
        <v>2023</v>
      </c>
      <c r="C33" s="279"/>
      <c r="D33" s="279"/>
      <c r="E33" s="279"/>
      <c r="F33" s="280"/>
      <c r="G33" s="281"/>
      <c r="H33" s="281"/>
      <c r="I33" s="282"/>
      <c r="J33" s="280"/>
      <c r="K33" s="280"/>
      <c r="L33" s="280"/>
      <c r="M33" s="283"/>
      <c r="N33" s="285"/>
      <c r="P33" s="14"/>
    </row>
    <row r="34" spans="1:16" hidden="1">
      <c r="B34" s="212">
        <f t="shared" ref="B34:B70" si="16">+B33+1</f>
        <v>2024</v>
      </c>
      <c r="C34" s="180"/>
      <c r="D34" s="180"/>
      <c r="E34" s="180"/>
      <c r="F34" s="179"/>
      <c r="G34" s="181"/>
      <c r="H34" s="182"/>
      <c r="I34" s="180"/>
      <c r="J34" s="180"/>
      <c r="K34" s="179"/>
      <c r="L34" s="179"/>
      <c r="M34" s="237"/>
      <c r="N34" s="238"/>
      <c r="P34" s="44"/>
    </row>
    <row r="35" spans="1:16" ht="16.2" hidden="1">
      <c r="A35" s="105"/>
      <c r="B35" s="276">
        <f t="shared" si="16"/>
        <v>2025</v>
      </c>
      <c r="C35" s="286"/>
      <c r="D35" s="286"/>
      <c r="E35" s="286"/>
      <c r="F35" s="257"/>
      <c r="G35" s="258"/>
      <c r="H35" s="259"/>
      <c r="I35" s="277"/>
      <c r="J35" s="257"/>
      <c r="K35" s="257"/>
      <c r="L35" s="257"/>
      <c r="M35" s="260"/>
      <c r="N35" s="275"/>
      <c r="P35" s="44"/>
    </row>
    <row r="36" spans="1:16">
      <c r="A36" s="105"/>
      <c r="B36" s="262">
        <f>+B35+1</f>
        <v>2026</v>
      </c>
      <c r="C36" s="266">
        <f>Assumptions!B32</f>
        <v>0</v>
      </c>
      <c r="D36" s="274">
        <v>0</v>
      </c>
      <c r="E36" s="274">
        <v>0</v>
      </c>
      <c r="F36" s="267">
        <f ca="1">OFFSET($L$18,0,B36-Assumptions!$B$3)+A36</f>
        <v>0</v>
      </c>
      <c r="G36" s="300">
        <f>'Cost Recovery Timing'!R15</f>
        <v>18.475999999999999</v>
      </c>
      <c r="H36" s="263">
        <f>Assumptions!$B$23</f>
        <v>0.02</v>
      </c>
      <c r="I36" s="270">
        <f>+I28</f>
        <v>46333.610029926363</v>
      </c>
      <c r="J36" s="267">
        <f>(G36*I36*Assumptions!$B$28)+(G35*I35*Assumptions!$B$27)+(G34*I34*Assumptions!$B$26)</f>
        <v>256817.93367387581</v>
      </c>
      <c r="K36" s="267">
        <f t="shared" ref="K36:K70" ca="1" si="17">+C36+J36-F36</f>
        <v>256817.93367387581</v>
      </c>
      <c r="L36" s="309"/>
      <c r="M36" s="264"/>
      <c r="N36" s="271">
        <f t="shared" ref="N36:N40" ca="1" si="18">+L36+K36+M36</f>
        <v>256817.93367387581</v>
      </c>
      <c r="P36" s="44"/>
    </row>
    <row r="37" spans="1:16">
      <c r="A37" s="105"/>
      <c r="B37" s="212">
        <f t="shared" si="16"/>
        <v>2027</v>
      </c>
      <c r="C37" s="232">
        <f t="shared" ref="C37:C70" ca="1" si="19">+N36</f>
        <v>256817.93367387581</v>
      </c>
      <c r="D37" s="232">
        <v>0</v>
      </c>
      <c r="E37" s="232">
        <v>0</v>
      </c>
      <c r="F37" s="235">
        <f ca="1">OFFSET($L$18,0,B37-Assumptions!$B$3)</f>
        <v>3063985.2130660699</v>
      </c>
      <c r="G37" s="214">
        <f>'Cost Recovery Timing'!R16</f>
        <v>28.58</v>
      </c>
      <c r="H37" s="215">
        <f>Assumptions!$B$23</f>
        <v>0.02</v>
      </c>
      <c r="I37" s="233">
        <f>+IF(B37&gt;$B$61,0,I36*(1+$H37))</f>
        <v>47260.282230524892</v>
      </c>
      <c r="J37" s="233">
        <f>(G37*I37*Assumptions!$B$28)+(G36*I36*Assumptions!$B$27)+(G35*I35*Assumptions!$B$26)</f>
        <v>662027.59351839614</v>
      </c>
      <c r="K37" s="233">
        <f t="shared" ca="1" si="17"/>
        <v>-2145139.6858737981</v>
      </c>
      <c r="L37" s="235"/>
      <c r="M37" s="234"/>
      <c r="N37" s="252">
        <f t="shared" ca="1" si="18"/>
        <v>-2145139.6858737981</v>
      </c>
      <c r="P37" s="44"/>
    </row>
    <row r="38" spans="1:16">
      <c r="A38" s="105"/>
      <c r="B38" s="212">
        <f t="shared" si="16"/>
        <v>2028</v>
      </c>
      <c r="C38" s="232">
        <f t="shared" ca="1" si="19"/>
        <v>-2145139.6858737981</v>
      </c>
      <c r="D38" s="232">
        <v>0</v>
      </c>
      <c r="E38" s="232">
        <v>0</v>
      </c>
      <c r="F38" s="235">
        <f ca="1">OFFSET($L$18,0,B38-Assumptions!$B$3)</f>
        <v>3140584.8433927214</v>
      </c>
      <c r="G38" s="214">
        <f>'Cost Recovery Timing'!R17</f>
        <v>28.58</v>
      </c>
      <c r="H38" s="215">
        <f>Assumptions!$B$23</f>
        <v>0.02</v>
      </c>
      <c r="I38" s="233">
        <f t="shared" ref="I38:I70" si="20">+IF(B38&gt;$B$61,0,I37*(1+$H38))</f>
        <v>48205.48787513539</v>
      </c>
      <c r="J38" s="233">
        <f>(G38*I38*Assumptions!$B$28)+(G37*I37*Assumptions!$B$27)+(G36*I36*Assumptions!$B$26)</f>
        <v>1160947.424451099</v>
      </c>
      <c r="K38" s="233">
        <f t="shared" ca="1" si="17"/>
        <v>-4124777.1048154207</v>
      </c>
      <c r="L38" s="235"/>
      <c r="M38" s="234"/>
      <c r="N38" s="252">
        <f t="shared" ca="1" si="18"/>
        <v>-4124777.1048154207</v>
      </c>
      <c r="P38" s="44"/>
    </row>
    <row r="39" spans="1:16">
      <c r="A39" s="105"/>
      <c r="B39" s="212">
        <f t="shared" si="16"/>
        <v>2029</v>
      </c>
      <c r="C39" s="232">
        <f t="shared" ca="1" si="19"/>
        <v>-4124777.1048154207</v>
      </c>
      <c r="D39" s="232">
        <v>0</v>
      </c>
      <c r="E39" s="232">
        <v>0</v>
      </c>
      <c r="F39" s="235">
        <f ca="1">OFFSET($L$18,0,B39-Assumptions!$B$3)</f>
        <v>0</v>
      </c>
      <c r="G39" s="214">
        <f>'Cost Recovery Timing'!R18</f>
        <v>28.58</v>
      </c>
      <c r="H39" s="215">
        <f>Assumptions!$B$23</f>
        <v>0.02</v>
      </c>
      <c r="I39" s="233">
        <f t="shared" si="20"/>
        <v>49169.597632638099</v>
      </c>
      <c r="J39" s="233">
        <f>(G39*I39*Assumptions!$B$28)+(G38*I38*Assumptions!$B$27)+(G37*I37*Assumptions!$B$26)</f>
        <v>1375173.5296030105</v>
      </c>
      <c r="K39" s="233">
        <f t="shared" ca="1" si="17"/>
        <v>-2749603.5752124102</v>
      </c>
      <c r="L39" s="235"/>
      <c r="M39" s="234"/>
      <c r="N39" s="252">
        <f t="shared" ca="1" si="18"/>
        <v>-2749603.5752124102</v>
      </c>
      <c r="P39" s="44"/>
    </row>
    <row r="40" spans="1:16">
      <c r="A40" s="105"/>
      <c r="B40" s="212">
        <f t="shared" si="16"/>
        <v>2030</v>
      </c>
      <c r="C40" s="232">
        <f t="shared" ca="1" si="19"/>
        <v>-2749603.5752124102</v>
      </c>
      <c r="D40" s="232">
        <v>0</v>
      </c>
      <c r="E40" s="232">
        <v>0</v>
      </c>
      <c r="F40" s="235">
        <f ca="1">OFFSET($L$18,0,B40-Assumptions!$B$3)</f>
        <v>0</v>
      </c>
      <c r="G40" s="214">
        <f>'Cost Recovery Timing'!R19</f>
        <v>28.58</v>
      </c>
      <c r="H40" s="215">
        <f>Assumptions!$B$23</f>
        <v>0.02</v>
      </c>
      <c r="I40" s="233">
        <f t="shared" si="20"/>
        <v>50152.989585290859</v>
      </c>
      <c r="J40" s="233">
        <f>(G40*I40*Assumptions!$B$28)+(G39*I39*Assumptions!$B$27)+(G38*I38*Assumptions!$B$26)</f>
        <v>1402677.0001950706</v>
      </c>
      <c r="K40" s="233">
        <f t="shared" ca="1" si="17"/>
        <v>-1346926.5750173395</v>
      </c>
      <c r="L40" s="235"/>
      <c r="M40" s="234"/>
      <c r="N40" s="252">
        <f t="shared" ca="1" si="18"/>
        <v>-1346926.5750173395</v>
      </c>
      <c r="P40" s="44"/>
    </row>
    <row r="41" spans="1:16">
      <c r="A41" s="105"/>
      <c r="B41" s="212">
        <f t="shared" si="16"/>
        <v>2031</v>
      </c>
      <c r="C41" s="232">
        <f t="shared" ca="1" si="19"/>
        <v>-1346926.5750173395</v>
      </c>
      <c r="D41" s="232">
        <v>0</v>
      </c>
      <c r="E41" s="232">
        <v>0</v>
      </c>
      <c r="F41" s="235">
        <f ca="1">OFFSET($L$18,0,B41-Assumptions!$B$3)</f>
        <v>0</v>
      </c>
      <c r="G41" s="214">
        <f>'Cost Recovery Timing'!R20</f>
        <v>28.58</v>
      </c>
      <c r="H41" s="215">
        <f>Assumptions!$B$23</f>
        <v>0.02</v>
      </c>
      <c r="I41" s="233">
        <f t="shared" si="20"/>
        <v>51156.049376996678</v>
      </c>
      <c r="J41" s="233">
        <f>(G41*I41*Assumptions!$B$28)+(G40*I40*Assumptions!$B$27)+(G39*I39*Assumptions!$B$26)</f>
        <v>1430730.540198972</v>
      </c>
      <c r="K41" s="233">
        <f t="shared" ca="1" si="17"/>
        <v>83803.965181632433</v>
      </c>
      <c r="L41" s="235"/>
      <c r="M41" s="234"/>
      <c r="N41" s="252">
        <f t="shared" ref="N41:N48" ca="1" si="21">+L41+K41+M41</f>
        <v>83803.965181632433</v>
      </c>
      <c r="P41" s="44"/>
    </row>
    <row r="42" spans="1:16">
      <c r="A42" s="105"/>
      <c r="B42" s="212">
        <f t="shared" si="16"/>
        <v>2032</v>
      </c>
      <c r="C42" s="232">
        <f t="shared" ca="1" si="19"/>
        <v>83803.965181632433</v>
      </c>
      <c r="D42" s="232">
        <v>0</v>
      </c>
      <c r="E42" s="232">
        <v>0</v>
      </c>
      <c r="F42" s="235">
        <f ca="1">OFFSET($L$18,0,B42-Assumptions!$B$3)</f>
        <v>0</v>
      </c>
      <c r="G42" s="214">
        <f>'Cost Recovery Timing'!R21</f>
        <v>28.58</v>
      </c>
      <c r="H42" s="215">
        <f>Assumptions!$B$23</f>
        <v>0.02</v>
      </c>
      <c r="I42" s="233">
        <f t="shared" si="20"/>
        <v>52179.170364536614</v>
      </c>
      <c r="J42" s="233">
        <f>(G42*I42*Assumptions!$B$28)+(G41*I41*Assumptions!$B$27)+(G40*I40*Assumptions!$B$26)</f>
        <v>1459345.1510029514</v>
      </c>
      <c r="K42" s="233">
        <f t="shared" ca="1" si="17"/>
        <v>1543149.1161845839</v>
      </c>
      <c r="L42" s="235"/>
      <c r="M42" s="234"/>
      <c r="N42" s="252">
        <f t="shared" ca="1" si="21"/>
        <v>1543149.1161845839</v>
      </c>
      <c r="P42" s="44"/>
    </row>
    <row r="43" spans="1:16">
      <c r="A43" s="105"/>
      <c r="B43" s="212">
        <f t="shared" si="16"/>
        <v>2033</v>
      </c>
      <c r="C43" s="232">
        <f t="shared" ca="1" si="19"/>
        <v>1543149.1161845839</v>
      </c>
      <c r="D43" s="232">
        <v>0</v>
      </c>
      <c r="E43" s="232">
        <v>0</v>
      </c>
      <c r="F43" s="235">
        <f ca="1">OFFSET($L$18,0,B43-Assumptions!$B$3)</f>
        <v>0</v>
      </c>
      <c r="G43" s="214">
        <f>'Cost Recovery Timing'!R22</f>
        <v>28.58</v>
      </c>
      <c r="H43" s="215">
        <f>Assumptions!$B$23</f>
        <v>0.02</v>
      </c>
      <c r="I43" s="233">
        <f t="shared" si="20"/>
        <v>53222.753771827345</v>
      </c>
      <c r="J43" s="233">
        <f>(G43*I43*Assumptions!$B$28)+(G42*I42*Assumptions!$B$27)+(G41*I41*Assumptions!$B$26)</f>
        <v>1488532.0540230107</v>
      </c>
      <c r="K43" s="233">
        <f t="shared" ca="1" si="17"/>
        <v>3031681.1702075945</v>
      </c>
      <c r="L43" s="235"/>
      <c r="M43" s="234"/>
      <c r="N43" s="252">
        <f t="shared" ca="1" si="21"/>
        <v>3031681.1702075945</v>
      </c>
      <c r="P43" s="44"/>
    </row>
    <row r="44" spans="1:16">
      <c r="A44" s="105"/>
      <c r="B44" s="212">
        <f t="shared" si="16"/>
        <v>2034</v>
      </c>
      <c r="C44" s="232">
        <f t="shared" ca="1" si="19"/>
        <v>3031681.1702075945</v>
      </c>
      <c r="D44" s="232">
        <v>0</v>
      </c>
      <c r="E44" s="232">
        <v>0</v>
      </c>
      <c r="F44" s="235">
        <f ca="1">OFFSET($L$18,0,B44-Assumptions!$B$3)</f>
        <v>0</v>
      </c>
      <c r="G44" s="214">
        <f>'Cost Recovery Timing'!R23</f>
        <v>28.58</v>
      </c>
      <c r="H44" s="215">
        <f>Assumptions!$B$23</f>
        <v>0.02</v>
      </c>
      <c r="I44" s="233">
        <f t="shared" si="20"/>
        <v>54287.208847263893</v>
      </c>
      <c r="J44" s="233">
        <f>(G44*I44*Assumptions!$B$28)+(G43*I43*Assumptions!$B$27)+(G42*I42*Assumptions!$B$26)</f>
        <v>1518302.6951034707</v>
      </c>
      <c r="K44" s="235">
        <f t="shared" ca="1" si="17"/>
        <v>4549983.8653110657</v>
      </c>
      <c r="L44" s="235"/>
      <c r="M44" s="234"/>
      <c r="N44" s="252">
        <f t="shared" ca="1" si="21"/>
        <v>4549983.8653110657</v>
      </c>
      <c r="P44" s="44"/>
    </row>
    <row r="45" spans="1:16">
      <c r="A45" s="105"/>
      <c r="B45" s="212">
        <f t="shared" si="16"/>
        <v>2035</v>
      </c>
      <c r="C45" s="232">
        <f t="shared" ca="1" si="19"/>
        <v>4549983.8653110657</v>
      </c>
      <c r="D45" s="232">
        <v>0</v>
      </c>
      <c r="E45" s="232">
        <v>0</v>
      </c>
      <c r="F45" s="235">
        <f ca="1">OFFSET($L$18,0,B45-Assumptions!$B$3)</f>
        <v>6671032.2824446745</v>
      </c>
      <c r="G45" s="214">
        <f>'Cost Recovery Timing'!R24</f>
        <v>28.58</v>
      </c>
      <c r="H45" s="215">
        <f>Assumptions!$B$23</f>
        <v>0.02</v>
      </c>
      <c r="I45" s="233">
        <f t="shared" si="20"/>
        <v>55372.953024209171</v>
      </c>
      <c r="J45" s="233">
        <f>(G45*I45*Assumptions!$B$28)+(G44*I44*Assumptions!$B$27)+(G43*I43*Assumptions!$B$26)</f>
        <v>1548668.7490055403</v>
      </c>
      <c r="K45" s="235">
        <f t="shared" ca="1" si="17"/>
        <v>-572379.66812806856</v>
      </c>
      <c r="L45" s="235"/>
      <c r="M45" s="234"/>
      <c r="N45" s="252">
        <f t="shared" ca="1" si="21"/>
        <v>-572379.66812806856</v>
      </c>
      <c r="P45" s="44"/>
    </row>
    <row r="46" spans="1:16">
      <c r="A46" s="105"/>
      <c r="B46" s="212">
        <f t="shared" si="16"/>
        <v>2036</v>
      </c>
      <c r="C46" s="232">
        <f t="shared" ca="1" si="19"/>
        <v>-572379.66812806856</v>
      </c>
      <c r="D46" s="232">
        <v>0</v>
      </c>
      <c r="E46" s="232">
        <v>0</v>
      </c>
      <c r="F46" s="235">
        <f ca="1">OFFSET($L$18,0,B46-Assumptions!$B$3)</f>
        <v>6837808.0895057898</v>
      </c>
      <c r="G46" s="214">
        <f>'Cost Recovery Timing'!R25</f>
        <v>28.58</v>
      </c>
      <c r="H46" s="215">
        <f>Assumptions!$B$23</f>
        <v>0.02</v>
      </c>
      <c r="I46" s="233">
        <f t="shared" si="20"/>
        <v>56480.412084693358</v>
      </c>
      <c r="J46" s="233">
        <f>(G46*I46*Assumptions!$B$28)+(G45*I45*Assumptions!$B$27)+(G44*I44*Assumptions!$B$26)</f>
        <v>1579642.1239856509</v>
      </c>
      <c r="K46" s="235">
        <f t="shared" ca="1" si="17"/>
        <v>-5830545.6336482074</v>
      </c>
      <c r="L46" s="235"/>
      <c r="M46" s="234"/>
      <c r="N46" s="252">
        <f t="shared" ca="1" si="21"/>
        <v>-5830545.6336482074</v>
      </c>
      <c r="P46" s="44"/>
    </row>
    <row r="47" spans="1:16">
      <c r="A47" s="105"/>
      <c r="B47" s="212">
        <f t="shared" si="16"/>
        <v>2037</v>
      </c>
      <c r="C47" s="232">
        <f t="shared" ca="1" si="19"/>
        <v>-5830545.6336482074</v>
      </c>
      <c r="D47" s="232">
        <v>0</v>
      </c>
      <c r="E47" s="232">
        <v>0</v>
      </c>
      <c r="F47" s="235">
        <f ca="1">OFFSET($L$18,0,B47-Assumptions!$B$3)</f>
        <v>0</v>
      </c>
      <c r="G47" s="214">
        <f>'Cost Recovery Timing'!R26</f>
        <v>28.58</v>
      </c>
      <c r="H47" s="215">
        <f>Assumptions!$B$23</f>
        <v>0.02</v>
      </c>
      <c r="I47" s="233">
        <f t="shared" si="20"/>
        <v>57610.020326387224</v>
      </c>
      <c r="J47" s="233">
        <f>(G47*I47*Assumptions!$B$28)+(G46*I46*Assumptions!$B$27)+(G45*I45*Assumptions!$B$26)</f>
        <v>1611234.966465364</v>
      </c>
      <c r="K47" s="235">
        <f t="shared" ca="1" si="17"/>
        <v>-4219310.6671828432</v>
      </c>
      <c r="L47" s="235"/>
      <c r="M47" s="234"/>
      <c r="N47" s="252">
        <f t="shared" ca="1" si="21"/>
        <v>-4219310.6671828432</v>
      </c>
      <c r="P47" s="44"/>
    </row>
    <row r="48" spans="1:16">
      <c r="A48" s="105"/>
      <c r="B48" s="212">
        <f t="shared" si="16"/>
        <v>2038</v>
      </c>
      <c r="C48" s="232">
        <f t="shared" ca="1" si="19"/>
        <v>-4219310.6671828432</v>
      </c>
      <c r="D48" s="232">
        <v>0</v>
      </c>
      <c r="E48" s="232">
        <v>0</v>
      </c>
      <c r="F48" s="235">
        <f ca="1">OFFSET($L$18,0,B48-Assumptions!$B$3)</f>
        <v>0</v>
      </c>
      <c r="G48" s="214">
        <f>'Cost Recovery Timing'!R27</f>
        <v>28.58</v>
      </c>
      <c r="H48" s="215">
        <f>Assumptions!$B$23</f>
        <v>0.02</v>
      </c>
      <c r="I48" s="233">
        <f t="shared" si="20"/>
        <v>58762.220732914968</v>
      </c>
      <c r="J48" s="233">
        <f>(G48*I48*Assumptions!$B$28)+(G47*I47*Assumptions!$B$27)+(G46*I46*Assumptions!$B$26)</f>
        <v>1643459.6657946715</v>
      </c>
      <c r="K48" s="235">
        <f t="shared" ca="1" si="17"/>
        <v>-2575851.0013881717</v>
      </c>
      <c r="L48" s="235"/>
      <c r="M48" s="234"/>
      <c r="N48" s="252">
        <f t="shared" ca="1" si="21"/>
        <v>-2575851.0013881717</v>
      </c>
      <c r="P48" s="44"/>
    </row>
    <row r="49" spans="1:17">
      <c r="A49" s="105"/>
      <c r="B49" s="212">
        <f>+B48+1</f>
        <v>2039</v>
      </c>
      <c r="C49" s="232">
        <f t="shared" ca="1" si="19"/>
        <v>-2575851.0013881717</v>
      </c>
      <c r="D49" s="232">
        <v>0</v>
      </c>
      <c r="E49" s="232">
        <v>0</v>
      </c>
      <c r="F49" s="235">
        <f ca="1">OFFSET($L$18,0,B49-Assumptions!$B$3)</f>
        <v>0</v>
      </c>
      <c r="G49" s="214">
        <f>'Cost Recovery Timing'!R28</f>
        <v>28.58</v>
      </c>
      <c r="H49" s="215">
        <f>Assumptions!$B$23</f>
        <v>0.02</v>
      </c>
      <c r="I49" s="233">
        <f t="shared" si="20"/>
        <v>59937.465147573268</v>
      </c>
      <c r="J49" s="233">
        <f>(G49*I49*Assumptions!$B$28)+(G48*I48*Assumptions!$B$27)+(G47*I47*Assumptions!$B$26)</f>
        <v>1676328.8591105649</v>
      </c>
      <c r="K49" s="235">
        <f t="shared" ca="1" si="17"/>
        <v>-899522.14227760676</v>
      </c>
      <c r="L49" s="235"/>
      <c r="M49" s="234"/>
      <c r="N49" s="252">
        <f ca="1">+L49+K49+M49</f>
        <v>-899522.14227760676</v>
      </c>
      <c r="P49" s="44"/>
    </row>
    <row r="50" spans="1:17">
      <c r="A50" s="105"/>
      <c r="B50" s="212">
        <f t="shared" si="16"/>
        <v>2040</v>
      </c>
      <c r="C50" s="232">
        <f t="shared" ca="1" si="19"/>
        <v>-899522.14227760676</v>
      </c>
      <c r="D50" s="232">
        <v>0</v>
      </c>
      <c r="E50" s="232">
        <v>0</v>
      </c>
      <c r="F50" s="235">
        <f ca="1">OFFSET($L$18,0,B50-Assumptions!$B$3)</f>
        <v>0</v>
      </c>
      <c r="G50" s="214">
        <f>'Cost Recovery Timing'!R29</f>
        <v>28.58</v>
      </c>
      <c r="H50" s="215">
        <f>Assumptions!$B$23</f>
        <v>0.02</v>
      </c>
      <c r="I50" s="233">
        <f t="shared" si="20"/>
        <v>61136.214450524734</v>
      </c>
      <c r="J50" s="233">
        <f>(G50*I50*Assumptions!$B$28)+(G49*I49*Assumptions!$B$27)+(G48*I48*Assumptions!$B$26)</f>
        <v>1709855.4362927761</v>
      </c>
      <c r="K50" s="235">
        <f t="shared" ca="1" si="17"/>
        <v>810333.29401516938</v>
      </c>
      <c r="L50" s="235"/>
      <c r="M50" s="234"/>
      <c r="N50" s="252">
        <f t="shared" ref="N50" ca="1" si="22">+L50+K50+M50</f>
        <v>810333.29401516938</v>
      </c>
      <c r="P50" s="44"/>
    </row>
    <row r="51" spans="1:17">
      <c r="A51" s="105"/>
      <c r="B51" s="212">
        <f>+B50+1</f>
        <v>2041</v>
      </c>
      <c r="C51" s="232">
        <f t="shared" ca="1" si="19"/>
        <v>810333.29401516938</v>
      </c>
      <c r="D51" s="232">
        <v>0</v>
      </c>
      <c r="E51" s="232">
        <v>0</v>
      </c>
      <c r="F51" s="235">
        <f ca="1">OFFSET($L$18,0,B51-Assumptions!$B$3)</f>
        <v>0</v>
      </c>
      <c r="G51" s="214">
        <f>'Cost Recovery Timing'!R30</f>
        <v>28.58</v>
      </c>
      <c r="H51" s="215">
        <f>Assumptions!$B$23</f>
        <v>0.02</v>
      </c>
      <c r="I51" s="233">
        <f t="shared" si="20"/>
        <v>62358.938739535231</v>
      </c>
      <c r="J51" s="233">
        <f>(G51*I51*Assumptions!$B$28)+(G50*I50*Assumptions!$B$27)+(G49*I49*Assumptions!$B$26)</f>
        <v>1744052.5450186315</v>
      </c>
      <c r="K51" s="235">
        <f t="shared" ca="1" si="17"/>
        <v>2554385.8390338011</v>
      </c>
      <c r="L51" s="235"/>
      <c r="M51" s="234"/>
      <c r="N51" s="252">
        <f ca="1">+L51+K51+M51</f>
        <v>2554385.8390338011</v>
      </c>
      <c r="P51" s="44"/>
    </row>
    <row r="52" spans="1:17">
      <c r="A52" s="105"/>
      <c r="B52" s="212">
        <f>+B51+1</f>
        <v>2042</v>
      </c>
      <c r="C52" s="232">
        <f t="shared" ca="1" si="19"/>
        <v>2554385.8390338011</v>
      </c>
      <c r="D52" s="232">
        <v>0</v>
      </c>
      <c r="E52" s="232">
        <v>0</v>
      </c>
      <c r="F52" s="235">
        <f ca="1">OFFSET($L$18,0,B52-Assumptions!$B$3)</f>
        <v>1479188.0554203033</v>
      </c>
      <c r="G52" s="214">
        <f>'Cost Recovery Timing'!R31</f>
        <v>28.58</v>
      </c>
      <c r="H52" s="215">
        <f>Assumptions!$B$23</f>
        <v>0.02</v>
      </c>
      <c r="I52" s="233">
        <f t="shared" si="20"/>
        <v>63606.117514325939</v>
      </c>
      <c r="J52" s="233">
        <f>(G52*I52*Assumptions!$B$28)+(G51*I51*Assumptions!$B$27)+(G50*I50*Assumptions!$B$26)</f>
        <v>1778933.5959190042</v>
      </c>
      <c r="K52" s="235">
        <f t="shared" ca="1" si="17"/>
        <v>2854131.3795325016</v>
      </c>
      <c r="L52" s="235"/>
      <c r="M52" s="234"/>
      <c r="N52" s="252">
        <f ca="1">+L52+K52+M52</f>
        <v>2854131.3795325016</v>
      </c>
      <c r="P52" s="44"/>
    </row>
    <row r="53" spans="1:17">
      <c r="A53" s="105"/>
      <c r="B53" s="212">
        <f t="shared" si="16"/>
        <v>2043</v>
      </c>
      <c r="C53" s="232">
        <f t="shared" ca="1" si="19"/>
        <v>2854131.3795325016</v>
      </c>
      <c r="D53" s="232">
        <v>0</v>
      </c>
      <c r="E53" s="232">
        <v>0</v>
      </c>
      <c r="F53" s="235">
        <f ca="1">OFFSET($L$18,0,B53-Assumptions!$B$3)</f>
        <v>1516167.7568058106</v>
      </c>
      <c r="G53" s="214">
        <f>'Cost Recovery Timing'!R32</f>
        <v>28.58</v>
      </c>
      <c r="H53" s="215">
        <f>Assumptions!$B$23</f>
        <v>0.02</v>
      </c>
      <c r="I53" s="233">
        <f t="shared" si="20"/>
        <v>64878.239864612457</v>
      </c>
      <c r="J53" s="233">
        <f>(G53*I53*Assumptions!$B$28)+(G52*I52*Assumptions!$B$27)+(G51*I51*Assumptions!$B$26)</f>
        <v>1814512.2678373845</v>
      </c>
      <c r="K53" s="235">
        <f t="shared" ca="1" si="17"/>
        <v>3152475.8905640752</v>
      </c>
      <c r="L53" s="235"/>
      <c r="M53" s="234"/>
      <c r="N53" s="252">
        <f t="shared" ref="N53:N70" ca="1" si="23">+L53+K53+M53</f>
        <v>3152475.8905640752</v>
      </c>
      <c r="P53" s="44"/>
    </row>
    <row r="54" spans="1:17">
      <c r="A54" s="105"/>
      <c r="B54" s="212">
        <f>+B53+1</f>
        <v>2044</v>
      </c>
      <c r="C54" s="232">
        <f t="shared" ca="1" si="19"/>
        <v>3152475.8905640752</v>
      </c>
      <c r="D54" s="232">
        <v>0</v>
      </c>
      <c r="E54" s="232">
        <v>0</v>
      </c>
      <c r="F54" s="235">
        <f ca="1">OFFSET($L$18,0,B54-Assumptions!$B$3)</f>
        <v>0</v>
      </c>
      <c r="G54" s="214">
        <f>'Cost Recovery Timing'!R33</f>
        <v>28.58</v>
      </c>
      <c r="H54" s="215">
        <f>Assumptions!$B$23</f>
        <v>0.02</v>
      </c>
      <c r="I54" s="233">
        <f t="shared" si="20"/>
        <v>66175.804661904709</v>
      </c>
      <c r="J54" s="233">
        <f>(G54*I54*Assumptions!$B$28)+(G53*I53*Assumptions!$B$27)+(G52*I52*Assumptions!$B$26)</f>
        <v>1850802.5131941324</v>
      </c>
      <c r="K54" s="235">
        <f t="shared" ca="1" si="17"/>
        <v>5003278.4037582073</v>
      </c>
      <c r="L54" s="235"/>
      <c r="M54" s="234"/>
      <c r="N54" s="252">
        <f t="shared" ca="1" si="23"/>
        <v>5003278.4037582073</v>
      </c>
      <c r="P54" s="44"/>
    </row>
    <row r="55" spans="1:17">
      <c r="A55" s="105"/>
      <c r="B55" s="212">
        <f t="shared" si="16"/>
        <v>2045</v>
      </c>
      <c r="C55" s="232">
        <f t="shared" ca="1" si="19"/>
        <v>5003278.4037582073</v>
      </c>
      <c r="D55" s="232">
        <v>0</v>
      </c>
      <c r="E55" s="232">
        <v>0</v>
      </c>
      <c r="F55" s="235">
        <f ca="1">OFFSET($L$18,0,B55-Assumptions!$B$3)</f>
        <v>0</v>
      </c>
      <c r="G55" s="214">
        <f>'Cost Recovery Timing'!R34</f>
        <v>28.58</v>
      </c>
      <c r="H55" s="215">
        <f>Assumptions!$B$23</f>
        <v>0.02</v>
      </c>
      <c r="I55" s="233">
        <f t="shared" si="20"/>
        <v>67499.320755142806</v>
      </c>
      <c r="J55" s="233">
        <f>(G55*I55*Assumptions!$B$28)+(G54*I54*Assumptions!$B$27)+(G53*I53*Assumptions!$B$26)</f>
        <v>1887818.563458015</v>
      </c>
      <c r="K55" s="235">
        <f t="shared" ca="1" si="17"/>
        <v>6891096.9672162225</v>
      </c>
      <c r="L55" s="235"/>
      <c r="M55" s="234"/>
      <c r="N55" s="252">
        <f t="shared" ca="1" si="23"/>
        <v>6891096.9672162225</v>
      </c>
      <c r="P55" s="44"/>
    </row>
    <row r="56" spans="1:17">
      <c r="A56" s="105"/>
      <c r="B56" s="212">
        <f t="shared" si="16"/>
        <v>2046</v>
      </c>
      <c r="C56" s="232">
        <f t="shared" ca="1" si="19"/>
        <v>6891096.9672162225</v>
      </c>
      <c r="D56" s="232">
        <v>0</v>
      </c>
      <c r="E56" s="232">
        <v>0</v>
      </c>
      <c r="F56" s="235">
        <f ca="1">OFFSET($L$18,0,B56-Assumptions!$B$3)</f>
        <v>0</v>
      </c>
      <c r="G56" s="214">
        <f>'Cost Recovery Timing'!R35</f>
        <v>28.58</v>
      </c>
      <c r="H56" s="215">
        <f>Assumptions!$B$23</f>
        <v>0.02</v>
      </c>
      <c r="I56" s="233">
        <f t="shared" si="20"/>
        <v>68849.307170245665</v>
      </c>
      <c r="J56" s="233">
        <f>(G56*I56*Assumptions!$B$28)+(G55*I55*Assumptions!$B$27)+(G54*I54*Assumptions!$B$26)</f>
        <v>1925574.9347271752</v>
      </c>
      <c r="K56" s="235">
        <f t="shared" ca="1" si="17"/>
        <v>8816671.9019433968</v>
      </c>
      <c r="L56" s="235"/>
      <c r="M56" s="234"/>
      <c r="N56" s="252">
        <f t="shared" ca="1" si="23"/>
        <v>8816671.9019433968</v>
      </c>
      <c r="P56" s="44"/>
    </row>
    <row r="57" spans="1:17">
      <c r="A57" s="105"/>
      <c r="B57" s="212">
        <f t="shared" si="16"/>
        <v>2047</v>
      </c>
      <c r="C57" s="232">
        <f t="shared" ca="1" si="19"/>
        <v>8816671.9019433968</v>
      </c>
      <c r="D57" s="232">
        <v>0</v>
      </c>
      <c r="E57" s="232">
        <v>0</v>
      </c>
      <c r="F57" s="235">
        <f ca="1">OFFSET($L$18,0,B57-Assumptions!$B$3)</f>
        <v>5624665.7342216233</v>
      </c>
      <c r="G57" s="214">
        <f>'Cost Recovery Timing'!R36</f>
        <v>28.58</v>
      </c>
      <c r="H57" s="215">
        <f>Assumptions!$B$23</f>
        <v>0.02</v>
      </c>
      <c r="I57" s="233">
        <f t="shared" si="20"/>
        <v>70226.293313650574</v>
      </c>
      <c r="J57" s="233">
        <f>(G57*I57*Assumptions!$B$28)+(G56*I56*Assumptions!$B$27)+(G55*I55*Assumptions!$B$26)</f>
        <v>1964086.4334217189</v>
      </c>
      <c r="K57" s="235">
        <f t="shared" ca="1" si="17"/>
        <v>5156092.6011434933</v>
      </c>
      <c r="L57" s="235"/>
      <c r="M57" s="234"/>
      <c r="N57" s="252">
        <f t="shared" ca="1" si="23"/>
        <v>5156092.6011434933</v>
      </c>
      <c r="P57" s="44"/>
    </row>
    <row r="58" spans="1:17">
      <c r="A58" s="105"/>
      <c r="B58" s="212">
        <f t="shared" si="16"/>
        <v>2048</v>
      </c>
      <c r="C58" s="232">
        <f t="shared" ca="1" si="19"/>
        <v>5156092.6011434933</v>
      </c>
      <c r="D58" s="232">
        <v>0</v>
      </c>
      <c r="E58" s="232">
        <v>0</v>
      </c>
      <c r="F58" s="235">
        <f ca="1">OFFSET($L$18,0,B58-Assumptions!$B$3)</f>
        <v>5765282.3775771623</v>
      </c>
      <c r="G58" s="214">
        <f>'Cost Recovery Timing'!R37</f>
        <v>28.58</v>
      </c>
      <c r="H58" s="215">
        <f>Assumptions!$B$23</f>
        <v>0.02</v>
      </c>
      <c r="I58" s="233">
        <f t="shared" si="20"/>
        <v>71630.819179923594</v>
      </c>
      <c r="J58" s="233">
        <f>(G58*I58*Assumptions!$B$28)+(G57*I57*Assumptions!$B$27)+(G56*I56*Assumptions!$B$26)</f>
        <v>2003368.1620901532</v>
      </c>
      <c r="K58" s="235">
        <f t="shared" ca="1" si="17"/>
        <v>1394178.3856564844</v>
      </c>
      <c r="L58" s="235"/>
      <c r="M58" s="234"/>
      <c r="N58" s="252">
        <f t="shared" ca="1" si="23"/>
        <v>1394178.3856564844</v>
      </c>
      <c r="P58" s="44"/>
    </row>
    <row r="59" spans="1:17">
      <c r="A59" s="105"/>
      <c r="B59" s="212">
        <f t="shared" si="16"/>
        <v>2049</v>
      </c>
      <c r="C59" s="232">
        <f t="shared" ca="1" si="19"/>
        <v>1394178.3856564844</v>
      </c>
      <c r="D59" s="232">
        <v>0</v>
      </c>
      <c r="E59" s="232">
        <v>0</v>
      </c>
      <c r="F59" s="235">
        <f ca="1">OFFSET($L$18,0,B59-Assumptions!$B$3)</f>
        <v>0</v>
      </c>
      <c r="G59" s="214">
        <f>'Cost Recovery Timing'!R38</f>
        <v>28.58</v>
      </c>
      <c r="H59" s="215">
        <f>Assumptions!$B$23</f>
        <v>0.02</v>
      </c>
      <c r="I59" s="233">
        <f t="shared" si="20"/>
        <v>73063.435563522071</v>
      </c>
      <c r="J59" s="233">
        <f>(G59*I59*Assumptions!$B$28)+(G58*I58*Assumptions!$B$27)+(G57*I57*Assumptions!$B$26)</f>
        <v>2043435.5253319563</v>
      </c>
      <c r="K59" s="235">
        <f t="shared" ca="1" si="17"/>
        <v>3437613.9109884407</v>
      </c>
      <c r="L59" s="235"/>
      <c r="M59" s="234"/>
      <c r="N59" s="252">
        <f t="shared" ca="1" si="23"/>
        <v>3437613.9109884407</v>
      </c>
      <c r="P59" s="44"/>
    </row>
    <row r="60" spans="1:17">
      <c r="B60" s="212">
        <f t="shared" si="16"/>
        <v>2050</v>
      </c>
      <c r="C60" s="278">
        <f t="shared" ca="1" si="19"/>
        <v>3437613.9109884407</v>
      </c>
      <c r="D60" s="278">
        <v>0</v>
      </c>
      <c r="E60" s="278">
        <v>0</v>
      </c>
      <c r="F60" s="235">
        <f ca="1">OFFSET($L$18,0,B60-Assumptions!$B$3)</f>
        <v>4254902.7852558475</v>
      </c>
      <c r="G60" s="219">
        <f>'Cost Recovery Timing'!R39</f>
        <v>28.58</v>
      </c>
      <c r="H60" s="215">
        <f>Assumptions!$B$23</f>
        <v>0.02</v>
      </c>
      <c r="I60" s="233">
        <f t="shared" si="20"/>
        <v>74524.704274792515</v>
      </c>
      <c r="J60" s="235">
        <f>(G60*I60*Assumptions!$B$28)+(G59*I59*Assumptions!$B$27)+(G58*I58*Assumptions!$B$26)</f>
        <v>2084304.2358385958</v>
      </c>
      <c r="K60" s="235">
        <f t="shared" ca="1" si="17"/>
        <v>1267015.361571189</v>
      </c>
      <c r="L60" s="235"/>
      <c r="M60" s="234"/>
      <c r="N60" s="252">
        <f t="shared" ca="1" si="23"/>
        <v>1267015.361571189</v>
      </c>
      <c r="P60" s="44"/>
    </row>
    <row r="61" spans="1:17">
      <c r="A61" s="220" t="s">
        <v>159</v>
      </c>
      <c r="B61" s="265">
        <f t="shared" si="16"/>
        <v>2051</v>
      </c>
      <c r="C61" s="268">
        <f t="shared" ca="1" si="19"/>
        <v>1267015.361571189</v>
      </c>
      <c r="D61" s="268">
        <v>0</v>
      </c>
      <c r="E61" s="268">
        <v>0</v>
      </c>
      <c r="F61" s="269">
        <f ca="1">OFFSET($L$18,0,B61-Assumptions!$B$3)</f>
        <v>4361275.3548872434</v>
      </c>
      <c r="G61" s="221">
        <f>'Cost Recovery Timing'!R40</f>
        <v>10.104000000000042</v>
      </c>
      <c r="H61" s="222">
        <f>Assumptions!$B$23</f>
        <v>0.02</v>
      </c>
      <c r="I61" s="269">
        <f t="shared" si="20"/>
        <v>76015.19836028837</v>
      </c>
      <c r="J61" s="269">
        <f>(G61*I61*Assumptions!$B$28)+(G60*I60*Assumptions!$B$27)+(G59*I59*Assumptions!$B$26)</f>
        <v>1704653.2790839623</v>
      </c>
      <c r="K61" s="269">
        <f t="shared" ca="1" si="17"/>
        <v>-1389606.7142320918</v>
      </c>
      <c r="L61" s="269"/>
      <c r="M61" s="272"/>
      <c r="N61" s="273">
        <f t="shared" ca="1" si="23"/>
        <v>-1389606.7142320918</v>
      </c>
    </row>
    <row r="62" spans="1:17" ht="15" customHeight="1">
      <c r="B62" s="212">
        <f t="shared" si="16"/>
        <v>2052</v>
      </c>
      <c r="C62" s="232">
        <f t="shared" ca="1" si="19"/>
        <v>-1389606.7142320918</v>
      </c>
      <c r="D62" s="232">
        <v>0</v>
      </c>
      <c r="E62" s="232">
        <v>0</v>
      </c>
      <c r="F62" s="235">
        <f ca="1">OFFSET($L$18,0,B62-Assumptions!$B$3)</f>
        <v>0</v>
      </c>
      <c r="G62" s="214">
        <f>'Cost Recovery Timing'!R41</f>
        <v>0</v>
      </c>
      <c r="H62" s="215">
        <f>Assumptions!$B$23</f>
        <v>0.02</v>
      </c>
      <c r="I62" s="233">
        <f t="shared" si="20"/>
        <v>0</v>
      </c>
      <c r="J62" s="233">
        <f>(G62*I62*Assumptions!$B$28)+(G61*I61*Assumptions!$B$27)+(G60*I60*Assumptions!$B$26)</f>
        <v>1082383.6885391353</v>
      </c>
      <c r="K62" s="235">
        <f t="shared" ca="1" si="17"/>
        <v>-307223.02569295652</v>
      </c>
      <c r="L62" s="235"/>
      <c r="M62" s="234"/>
      <c r="N62" s="555">
        <f t="shared" ca="1" si="23"/>
        <v>-307223.02569295652</v>
      </c>
      <c r="O62" s="693" t="s">
        <v>279</v>
      </c>
      <c r="P62" s="694"/>
      <c r="Q62" s="694"/>
    </row>
    <row r="63" spans="1:17">
      <c r="B63" s="212">
        <f t="shared" si="16"/>
        <v>2053</v>
      </c>
      <c r="C63" s="232">
        <f t="shared" ca="1" si="19"/>
        <v>-307223.02569295652</v>
      </c>
      <c r="D63" s="232">
        <v>0</v>
      </c>
      <c r="E63" s="232">
        <v>0</v>
      </c>
      <c r="F63" s="235">
        <f ca="1">OFFSET($L$18,0,B63-Assumptions!$B$3)</f>
        <v>0</v>
      </c>
      <c r="G63" s="214">
        <f>'Cost Recovery Timing'!R42</f>
        <v>0</v>
      </c>
      <c r="H63" s="215">
        <f>Assumptions!$B$23</f>
        <v>0.02</v>
      </c>
      <c r="I63" s="233">
        <f t="shared" si="20"/>
        <v>0</v>
      </c>
      <c r="J63" s="233">
        <f>(G63*I63*Assumptions!$B$28)+(G62*I62*Assumptions!$B$27)+(G61*I61*Assumptions!$B$26)</f>
        <v>307223.02569294273</v>
      </c>
      <c r="K63" s="235">
        <f t="shared" ca="1" si="17"/>
        <v>-1.3795215636491776E-8</v>
      </c>
      <c r="L63" s="235"/>
      <c r="M63" s="234"/>
      <c r="N63" s="555">
        <f t="shared" ca="1" si="23"/>
        <v>-1.3795215636491776E-8</v>
      </c>
      <c r="O63" s="693"/>
      <c r="P63" s="694"/>
      <c r="Q63" s="694"/>
    </row>
    <row r="64" spans="1:17">
      <c r="B64" s="212">
        <f t="shared" si="16"/>
        <v>2054</v>
      </c>
      <c r="C64" s="232">
        <f t="shared" ca="1" si="19"/>
        <v>-1.3795215636491776E-8</v>
      </c>
      <c r="D64" s="232">
        <v>0</v>
      </c>
      <c r="E64" s="232">
        <v>0</v>
      </c>
      <c r="F64" s="235">
        <f ca="1">OFFSET($L$18,0,B64-Assumptions!$B$3)</f>
        <v>0</v>
      </c>
      <c r="G64" s="214">
        <f>'Cost Recovery Timing'!R43</f>
        <v>0</v>
      </c>
      <c r="H64" s="215">
        <f>Assumptions!$B$23</f>
        <v>0.02</v>
      </c>
      <c r="I64" s="233">
        <f t="shared" si="20"/>
        <v>0</v>
      </c>
      <c r="J64" s="233">
        <f>(G64*I64*Assumptions!$B$28)+(G63*I63*Assumptions!$B$27)+(G62*I62*Assumptions!$B$26)</f>
        <v>0</v>
      </c>
      <c r="K64" s="235">
        <f t="shared" ca="1" si="17"/>
        <v>-1.3795215636491776E-8</v>
      </c>
      <c r="L64" s="235"/>
      <c r="M64" s="234"/>
      <c r="N64" s="252">
        <f t="shared" ca="1" si="23"/>
        <v>-1.3795215636491776E-8</v>
      </c>
      <c r="O64" s="693"/>
      <c r="P64" s="694"/>
      <c r="Q64" s="694"/>
    </row>
    <row r="65" spans="2:14">
      <c r="B65" s="212">
        <f t="shared" si="16"/>
        <v>2055</v>
      </c>
      <c r="C65" s="232">
        <f t="shared" ca="1" si="19"/>
        <v>-1.3795215636491776E-8</v>
      </c>
      <c r="D65" s="232">
        <v>0</v>
      </c>
      <c r="E65" s="232">
        <v>0</v>
      </c>
      <c r="F65" s="235">
        <f ca="1">OFFSET($L$18,0,B65-Assumptions!$B$3)</f>
        <v>0</v>
      </c>
      <c r="G65" s="214">
        <f>'Cost Recovery Timing'!R44</f>
        <v>0</v>
      </c>
      <c r="H65" s="215">
        <f>Assumptions!$B$23</f>
        <v>0.02</v>
      </c>
      <c r="I65" s="233">
        <f t="shared" si="20"/>
        <v>0</v>
      </c>
      <c r="J65" s="233">
        <f>(G65*I65*Assumptions!$B$28)+(G64*I64*Assumptions!$B$27)+(G63*I63*Assumptions!$B$26)</f>
        <v>0</v>
      </c>
      <c r="K65" s="235">
        <f t="shared" ca="1" si="17"/>
        <v>-1.3795215636491776E-8</v>
      </c>
      <c r="L65" s="235"/>
      <c r="M65" s="234"/>
      <c r="N65" s="252">
        <f t="shared" ca="1" si="23"/>
        <v>-1.3795215636491776E-8</v>
      </c>
    </row>
    <row r="66" spans="2:14">
      <c r="B66" s="212">
        <f t="shared" si="16"/>
        <v>2056</v>
      </c>
      <c r="C66" s="232">
        <f t="shared" ca="1" si="19"/>
        <v>-1.3795215636491776E-8</v>
      </c>
      <c r="D66" s="232">
        <v>0</v>
      </c>
      <c r="E66" s="232">
        <v>0</v>
      </c>
      <c r="F66" s="235">
        <f ca="1">OFFSET($L$18,0,B66-Assumptions!$B$3)</f>
        <v>0</v>
      </c>
      <c r="G66" s="214">
        <f>'Cost Recovery Timing'!R45</f>
        <v>0</v>
      </c>
      <c r="H66" s="215">
        <f>Assumptions!$B$23</f>
        <v>0.02</v>
      </c>
      <c r="I66" s="233">
        <f t="shared" si="20"/>
        <v>0</v>
      </c>
      <c r="J66" s="233">
        <f>(G66*I66*Assumptions!$B$28)+(G65*I65*Assumptions!$B$27)+(G64*I64*Assumptions!$B$26)</f>
        <v>0</v>
      </c>
      <c r="K66" s="235">
        <f t="shared" ca="1" si="17"/>
        <v>-1.3795215636491776E-8</v>
      </c>
      <c r="L66" s="235"/>
      <c r="M66" s="234"/>
      <c r="N66" s="252">
        <f t="shared" ca="1" si="23"/>
        <v>-1.3795215636491776E-8</v>
      </c>
    </row>
    <row r="67" spans="2:14">
      <c r="B67" s="212">
        <f t="shared" si="16"/>
        <v>2057</v>
      </c>
      <c r="C67" s="232">
        <f t="shared" ca="1" si="19"/>
        <v>-1.3795215636491776E-8</v>
      </c>
      <c r="D67" s="232">
        <v>0</v>
      </c>
      <c r="E67" s="232">
        <v>0</v>
      </c>
      <c r="F67" s="235">
        <f ca="1">OFFSET($L$18,0,B67-Assumptions!$B$3)</f>
        <v>0</v>
      </c>
      <c r="G67" s="214">
        <f>'Cost Recovery Timing'!R46</f>
        <v>0</v>
      </c>
      <c r="H67" s="215">
        <f>Assumptions!$B$23</f>
        <v>0.02</v>
      </c>
      <c r="I67" s="233">
        <f t="shared" si="20"/>
        <v>0</v>
      </c>
      <c r="J67" s="233">
        <f>(G67*I67*Assumptions!$B$28)+(G66*I66*Assumptions!$B$27)+(G65*I65*Assumptions!$B$26)</f>
        <v>0</v>
      </c>
      <c r="K67" s="235">
        <f t="shared" ca="1" si="17"/>
        <v>-1.3795215636491776E-8</v>
      </c>
      <c r="L67" s="235"/>
      <c r="M67" s="234"/>
      <c r="N67" s="252">
        <f t="shared" ca="1" si="23"/>
        <v>-1.3795215636491776E-8</v>
      </c>
    </row>
    <row r="68" spans="2:14">
      <c r="B68" s="212">
        <f t="shared" si="16"/>
        <v>2058</v>
      </c>
      <c r="C68" s="232">
        <f t="shared" ca="1" si="19"/>
        <v>-1.3795215636491776E-8</v>
      </c>
      <c r="D68" s="232">
        <v>0</v>
      </c>
      <c r="E68" s="232">
        <v>0</v>
      </c>
      <c r="F68" s="235">
        <f ca="1">OFFSET($L$18,0,B68-Assumptions!$B$3)</f>
        <v>0</v>
      </c>
      <c r="G68" s="214">
        <f>'Cost Recovery Timing'!R47</f>
        <v>0</v>
      </c>
      <c r="H68" s="215">
        <f>Assumptions!$B$23</f>
        <v>0.02</v>
      </c>
      <c r="I68" s="233">
        <f t="shared" si="20"/>
        <v>0</v>
      </c>
      <c r="J68" s="233">
        <f>(G68*I68*Assumptions!$B$28)+(G67*I67*Assumptions!$B$27)+(G66*I66*Assumptions!$B$26)</f>
        <v>0</v>
      </c>
      <c r="K68" s="235">
        <f t="shared" ca="1" si="17"/>
        <v>-1.3795215636491776E-8</v>
      </c>
      <c r="L68" s="235"/>
      <c r="M68" s="234"/>
      <c r="N68" s="252">
        <f t="shared" ca="1" si="23"/>
        <v>-1.3795215636491776E-8</v>
      </c>
    </row>
    <row r="69" spans="2:14">
      <c r="B69" s="212">
        <f t="shared" si="16"/>
        <v>2059</v>
      </c>
      <c r="C69" s="232">
        <f t="shared" ca="1" si="19"/>
        <v>-1.3795215636491776E-8</v>
      </c>
      <c r="D69" s="232">
        <v>0</v>
      </c>
      <c r="E69" s="232">
        <v>0</v>
      </c>
      <c r="F69" s="235">
        <f ca="1">OFFSET($L$18,0,B69-Assumptions!$B$3)</f>
        <v>0</v>
      </c>
      <c r="G69" s="214">
        <f>'Cost Recovery Timing'!R48</f>
        <v>0</v>
      </c>
      <c r="H69" s="215">
        <f>Assumptions!$B$23</f>
        <v>0.02</v>
      </c>
      <c r="I69" s="233">
        <f t="shared" si="20"/>
        <v>0</v>
      </c>
      <c r="J69" s="233">
        <f>(G69*I69*Assumptions!$B$28)+(G68*I68*Assumptions!$B$27)+(G67*I67*Assumptions!$B$26)</f>
        <v>0</v>
      </c>
      <c r="K69" s="235">
        <f t="shared" ca="1" si="17"/>
        <v>-1.3795215636491776E-8</v>
      </c>
      <c r="L69" s="235"/>
      <c r="M69" s="234"/>
      <c r="N69" s="252">
        <f t="shared" ca="1" si="23"/>
        <v>-1.3795215636491776E-8</v>
      </c>
    </row>
    <row r="70" spans="2:14" ht="15" thickBot="1">
      <c r="B70" s="213">
        <f t="shared" si="16"/>
        <v>2060</v>
      </c>
      <c r="C70" s="236">
        <f t="shared" ca="1" si="19"/>
        <v>-1.3795215636491776E-8</v>
      </c>
      <c r="D70" s="236">
        <v>0</v>
      </c>
      <c r="E70" s="236">
        <v>0</v>
      </c>
      <c r="F70" s="251">
        <f ca="1">OFFSET($L$18,0,B70-Assumptions!$B$3)</f>
        <v>0</v>
      </c>
      <c r="G70" s="223">
        <f>'Cost Recovery Timing'!R49</f>
        <v>0</v>
      </c>
      <c r="H70" s="224">
        <f>Assumptions!$B$23</f>
        <v>0.02</v>
      </c>
      <c r="I70" s="250">
        <f t="shared" si="20"/>
        <v>0</v>
      </c>
      <c r="J70" s="250">
        <f>(G70*I70*Assumptions!$B$28)+(G69*I69*Assumptions!$B$27)+(G68*I68*Assumptions!$B$26)</f>
        <v>0</v>
      </c>
      <c r="K70" s="251">
        <f t="shared" ca="1" si="17"/>
        <v>-1.3795215636491776E-8</v>
      </c>
      <c r="L70" s="251"/>
      <c r="M70" s="253"/>
      <c r="N70" s="254">
        <f t="shared" ca="1" si="23"/>
        <v>-1.3795215636491776E-8</v>
      </c>
    </row>
    <row r="71" spans="2:14">
      <c r="B71" s="104"/>
      <c r="C71" s="106"/>
      <c r="D71" s="107"/>
      <c r="E71" s="108"/>
      <c r="F71" s="109"/>
      <c r="G71" s="107"/>
      <c r="H71" s="107"/>
      <c r="I71" s="110"/>
      <c r="J71" s="110"/>
      <c r="K71" s="111"/>
      <c r="L71" s="112"/>
    </row>
    <row r="72" spans="2:14">
      <c r="B72" s="104"/>
      <c r="C72" s="106"/>
      <c r="D72" s="107"/>
      <c r="E72" s="108"/>
      <c r="F72" s="109"/>
      <c r="G72" s="107"/>
      <c r="H72" s="107"/>
      <c r="I72" s="110"/>
      <c r="J72" s="110"/>
      <c r="K72" s="111"/>
      <c r="L72" s="112"/>
    </row>
    <row r="73" spans="2:14">
      <c r="B73" s="104"/>
      <c r="C73" s="106"/>
      <c r="D73" s="107"/>
      <c r="E73" s="108"/>
      <c r="F73" s="109"/>
      <c r="G73" s="107"/>
      <c r="H73" s="107"/>
      <c r="I73" s="110"/>
      <c r="J73" s="110"/>
      <c r="K73" s="111"/>
      <c r="L73" s="112"/>
    </row>
    <row r="74" spans="2:14">
      <c r="B74" s="104"/>
      <c r="C74" s="106"/>
      <c r="D74" s="107"/>
      <c r="E74" s="108"/>
      <c r="F74" s="109"/>
      <c r="G74" s="107"/>
      <c r="H74" s="107"/>
      <c r="I74" s="110"/>
      <c r="J74" s="110"/>
      <c r="K74" s="111"/>
      <c r="L74" s="112"/>
    </row>
    <row r="75" spans="2:14">
      <c r="B75" s="104"/>
      <c r="C75" s="106"/>
      <c r="D75" s="107"/>
      <c r="E75" s="108"/>
      <c r="F75" s="109"/>
      <c r="G75" s="107"/>
      <c r="H75" s="107"/>
      <c r="I75" s="110"/>
      <c r="J75" s="110"/>
      <c r="K75" s="111"/>
      <c r="L75" s="112"/>
    </row>
    <row r="76" spans="2:14">
      <c r="B76" s="104"/>
      <c r="C76" s="106"/>
      <c r="D76" s="107"/>
      <c r="E76" s="108"/>
      <c r="F76" s="109"/>
      <c r="G76" s="107"/>
      <c r="H76" s="107"/>
      <c r="I76" s="110"/>
      <c r="J76" s="110"/>
      <c r="K76" s="111"/>
      <c r="L76" s="112"/>
    </row>
    <row r="77" spans="2:14">
      <c r="B77" s="104"/>
      <c r="C77" s="106"/>
      <c r="D77" s="107"/>
      <c r="E77" s="108"/>
      <c r="F77" s="109"/>
      <c r="G77" s="107"/>
      <c r="H77" s="107"/>
      <c r="I77" s="110"/>
      <c r="J77" s="110"/>
      <c r="K77" s="111"/>
      <c r="L77" s="112"/>
    </row>
    <row r="78" spans="2:14">
      <c r="B78" s="104"/>
      <c r="C78" s="106"/>
      <c r="D78" s="107"/>
      <c r="E78" s="108"/>
      <c r="F78" s="109"/>
      <c r="G78" s="107"/>
      <c r="H78" s="107"/>
      <c r="I78" s="110"/>
      <c r="J78" s="110"/>
      <c r="K78" s="111"/>
      <c r="L78" s="112"/>
    </row>
    <row r="79" spans="2:14">
      <c r="B79" s="104"/>
      <c r="C79" s="106"/>
      <c r="D79" s="107"/>
      <c r="E79" s="108"/>
      <c r="F79" s="109"/>
      <c r="G79" s="107"/>
      <c r="H79" s="107"/>
      <c r="I79" s="110"/>
      <c r="J79" s="110"/>
      <c r="K79" s="111"/>
      <c r="L79" s="112"/>
    </row>
    <row r="80" spans="2:14">
      <c r="B80" s="104"/>
      <c r="C80" s="106"/>
      <c r="D80" s="107"/>
      <c r="E80" s="108"/>
      <c r="F80" s="109"/>
      <c r="G80" s="107"/>
      <c r="H80" s="107"/>
      <c r="I80" s="110"/>
      <c r="J80" s="110"/>
      <c r="K80" s="111"/>
      <c r="L80" s="112"/>
    </row>
    <row r="81" spans="2:12">
      <c r="B81" s="104"/>
      <c r="C81" s="106"/>
      <c r="D81" s="107"/>
      <c r="E81" s="108"/>
      <c r="F81" s="109"/>
      <c r="G81" s="107"/>
      <c r="H81" s="107"/>
      <c r="I81" s="110"/>
      <c r="J81" s="110"/>
      <c r="K81" s="111"/>
      <c r="L81" s="112"/>
    </row>
  </sheetData>
  <dataConsolidate/>
  <mergeCells count="24">
    <mergeCell ref="O62:Q64"/>
    <mergeCell ref="N27:N31"/>
    <mergeCell ref="L28:M28"/>
    <mergeCell ref="K8:K9"/>
    <mergeCell ref="C9:C10"/>
    <mergeCell ref="D9:D10"/>
    <mergeCell ref="E9:E10"/>
    <mergeCell ref="J27:J28"/>
    <mergeCell ref="K27:K29"/>
    <mergeCell ref="L27:M27"/>
    <mergeCell ref="C27:C29"/>
    <mergeCell ref="D27:D30"/>
    <mergeCell ref="E27:E29"/>
    <mergeCell ref="F27:F29"/>
    <mergeCell ref="H27:H30"/>
    <mergeCell ref="B3:J3"/>
    <mergeCell ref="B4:J4"/>
    <mergeCell ref="B5:J5"/>
    <mergeCell ref="A8:A10"/>
    <mergeCell ref="B8:B10"/>
    <mergeCell ref="C8:E8"/>
    <mergeCell ref="F8:F9"/>
    <mergeCell ref="I8:I10"/>
    <mergeCell ref="J8:J10"/>
  </mergeCells>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33FCE-7354-401A-867A-1A86C4E8B226}">
  <sheetPr codeName="Sheet76">
    <tabColor theme="7" tint="0.59999389629810485"/>
  </sheetPr>
  <dimension ref="A1:AG32"/>
  <sheetViews>
    <sheetView showGridLines="0" zoomScaleNormal="100" workbookViewId="0">
      <selection activeCell="G28" sqref="G28"/>
    </sheetView>
  </sheetViews>
  <sheetFormatPr defaultRowHeight="14.4"/>
  <cols>
    <col min="1" max="1" width="40.5546875" customWidth="1"/>
    <col min="2" max="2" width="21.109375" customWidth="1"/>
    <col min="3" max="19" width="11.88671875" customWidth="1"/>
    <col min="20" max="20" width="12.88671875" customWidth="1"/>
    <col min="21" max="27" width="11.88671875" customWidth="1"/>
    <col min="28" max="28" width="13.21875" customWidth="1"/>
    <col min="29" max="30" width="11.88671875" customWidth="1"/>
    <col min="31" max="31" width="13.44140625" customWidth="1"/>
  </cols>
  <sheetData>
    <row r="1" spans="1:33">
      <c r="A1" t="s">
        <v>249</v>
      </c>
    </row>
    <row r="3" spans="1:33">
      <c r="B3" s="52" t="s">
        <v>198</v>
      </c>
      <c r="C3" s="135">
        <v>2025</v>
      </c>
      <c r="D3" s="135">
        <v>2026</v>
      </c>
      <c r="E3" s="135">
        <v>2027</v>
      </c>
      <c r="F3" s="135">
        <v>2028</v>
      </c>
      <c r="G3" s="135">
        <v>2029</v>
      </c>
      <c r="H3" s="135">
        <v>2030</v>
      </c>
      <c r="I3" s="135">
        <v>2031</v>
      </c>
      <c r="J3" s="135">
        <v>2032</v>
      </c>
      <c r="K3" s="135">
        <v>2033</v>
      </c>
      <c r="L3" s="135">
        <v>2034</v>
      </c>
      <c r="M3" s="135">
        <v>2035</v>
      </c>
      <c r="N3" s="135">
        <v>2036</v>
      </c>
      <c r="O3" s="135">
        <v>2037</v>
      </c>
      <c r="P3" s="135">
        <v>2038</v>
      </c>
      <c r="Q3" s="135">
        <v>2039</v>
      </c>
      <c r="R3" s="135">
        <v>2040</v>
      </c>
      <c r="S3" s="135">
        <v>2041</v>
      </c>
      <c r="T3" s="135">
        <v>2042</v>
      </c>
      <c r="U3" s="135">
        <v>2043</v>
      </c>
      <c r="V3" s="135">
        <v>2044</v>
      </c>
      <c r="W3" s="135">
        <v>2045</v>
      </c>
      <c r="X3" s="135">
        <v>2046</v>
      </c>
      <c r="Y3" s="135">
        <v>2047</v>
      </c>
      <c r="Z3" s="135">
        <v>2048</v>
      </c>
      <c r="AA3" s="135">
        <v>2049</v>
      </c>
      <c r="AB3" s="135">
        <v>2050</v>
      </c>
      <c r="AC3" s="135">
        <v>2051</v>
      </c>
      <c r="AD3" s="135">
        <v>2052</v>
      </c>
      <c r="AE3" s="135">
        <v>2053</v>
      </c>
    </row>
    <row r="4" spans="1:33">
      <c r="A4" s="717" t="s">
        <v>251</v>
      </c>
      <c r="B4" s="718"/>
      <c r="C4" s="719"/>
      <c r="D4" s="136">
        <f>INDEX('Transportation - Oversize'!$J$36:$J$69,MATCH(D3,'Transportation - Oversize'!$B$36:$B$69,0))</f>
        <v>256817.93367387581</v>
      </c>
      <c r="E4" s="136">
        <f>INDEX('Transportation - Oversize'!$J$36:$J$69,MATCH(E3,'Transportation - Oversize'!$B$36:$B$69,0))</f>
        <v>662027.59351839614</v>
      </c>
      <c r="F4" s="136">
        <f>INDEX('Transportation - Oversize'!$J$36:$J$69,MATCH(F3,'Transportation - Oversize'!$B$36:$B$69,0))</f>
        <v>1160947.424451099</v>
      </c>
      <c r="G4" s="136">
        <f>INDEX('Transportation - Oversize'!$J$36:$J$69,MATCH(G3,'Transportation - Oversize'!$B$36:$B$69,0))</f>
        <v>1375173.5296030105</v>
      </c>
      <c r="H4" s="136">
        <f>INDEX('Transportation - Oversize'!$J$36:$J$69,MATCH(H3,'Transportation - Oversize'!$B$36:$B$69,0))</f>
        <v>1402677.0001950706</v>
      </c>
      <c r="I4" s="136">
        <f>INDEX('Transportation - Oversize'!$J$36:$J$69,MATCH(I3,'Transportation - Oversize'!$B$36:$B$69,0))</f>
        <v>1430730.540198972</v>
      </c>
      <c r="J4" s="136">
        <f>INDEX('Transportation - Oversize'!$J$36:$J$69,MATCH(J3,'Transportation - Oversize'!$B$36:$B$69,0))</f>
        <v>1459345.1510029514</v>
      </c>
      <c r="K4" s="136">
        <f>INDEX('Transportation - Oversize'!$J$36:$J$69,MATCH(K3,'Transportation - Oversize'!$B$36:$B$69,0))</f>
        <v>1488532.0540230107</v>
      </c>
      <c r="L4" s="136">
        <f>INDEX('Transportation - Oversize'!$J$36:$J$69,MATCH(L3,'Transportation - Oversize'!$B$36:$B$69,0))</f>
        <v>1518302.6951034707</v>
      </c>
      <c r="M4" s="136">
        <f>INDEX('Transportation - Oversize'!$J$36:$J$69,MATCH(M3,'Transportation - Oversize'!$B$36:$B$69,0))</f>
        <v>1548668.7490055403</v>
      </c>
      <c r="N4" s="136">
        <f>INDEX('Transportation - Oversize'!$J$36:$J$69,MATCH(N3,'Transportation - Oversize'!$B$36:$B$69,0))</f>
        <v>1579642.1239856509</v>
      </c>
      <c r="O4" s="136">
        <f>INDEX('Transportation - Oversize'!$J$36:$J$69,MATCH(O3,'Transportation - Oversize'!$B$36:$B$69,0))</f>
        <v>1611234.966465364</v>
      </c>
      <c r="P4" s="136">
        <f>INDEX('Transportation - Oversize'!$J$36:$J$69,MATCH(P3,'Transportation - Oversize'!$B$36:$B$69,0))</f>
        <v>1643459.6657946715</v>
      </c>
      <c r="Q4" s="136">
        <f>INDEX('Transportation - Oversize'!$J$36:$J$69,MATCH(Q3,'Transportation - Oversize'!$B$36:$B$69,0))</f>
        <v>1676328.8591105649</v>
      </c>
      <c r="R4" s="136">
        <f>INDEX('Transportation - Oversize'!$J$36:$J$69,MATCH(R3,'Transportation - Oversize'!$B$36:$B$69,0))</f>
        <v>1709855.4362927761</v>
      </c>
      <c r="S4" s="136">
        <f>INDEX('Transportation - Oversize'!$J$36:$J$69,MATCH(S3,'Transportation - Oversize'!$B$36:$B$69,0))</f>
        <v>1744052.5450186315</v>
      </c>
      <c r="T4" s="136">
        <f>INDEX('Transportation - Oversize'!$J$36:$J$69,MATCH(T3,'Transportation - Oversize'!$B$36:$B$69,0))</f>
        <v>1778933.5959190042</v>
      </c>
      <c r="U4" s="136">
        <f>INDEX('Transportation - Oversize'!$J$36:$J$69,MATCH(U3,'Transportation - Oversize'!$B$36:$B$69,0))</f>
        <v>1814512.2678373845</v>
      </c>
      <c r="V4" s="136">
        <f>INDEX('Transportation - Oversize'!$J$36:$J$69,MATCH(V3,'Transportation - Oversize'!$B$36:$B$69,0))</f>
        <v>1850802.5131941324</v>
      </c>
      <c r="W4" s="136">
        <f>INDEX('Transportation - Oversize'!$J$36:$J$69,MATCH(W3,'Transportation - Oversize'!$B$36:$B$69,0))</f>
        <v>1887818.563458015</v>
      </c>
      <c r="X4" s="136">
        <f>INDEX('Transportation - Oversize'!$J$36:$J$69,MATCH(X3,'Transportation - Oversize'!$B$36:$B$69,0))</f>
        <v>1925574.9347271752</v>
      </c>
      <c r="Y4" s="136">
        <f>INDEX('Transportation - Oversize'!$J$36:$J$69,MATCH(Y3,'Transportation - Oversize'!$B$36:$B$69,0))</f>
        <v>1964086.4334217189</v>
      </c>
      <c r="Z4" s="136">
        <f>INDEX('Transportation - Oversize'!$J$36:$J$69,MATCH(Z3,'Transportation - Oversize'!$B$36:$B$69,0))</f>
        <v>2003368.1620901532</v>
      </c>
      <c r="AA4" s="136">
        <f>INDEX('Transportation - Oversize'!$J$36:$J$69,MATCH(AA3,'Transportation - Oversize'!$B$36:$B$69,0))</f>
        <v>2043435.5253319563</v>
      </c>
      <c r="AB4" s="136">
        <f>INDEX('Transportation - Oversize'!$J$36:$J$69,MATCH(AB3,'Transportation - Oversize'!$B$36:$B$69,0))</f>
        <v>2084304.2358385958</v>
      </c>
      <c r="AC4" s="136">
        <f>INDEX('Transportation - Oversize'!$J$36:$J$69,MATCH(AC3,'Transportation - Oversize'!$B$36:$B$69,0))</f>
        <v>1704653.2790839623</v>
      </c>
      <c r="AD4" s="136">
        <f>INDEX('Transportation - Oversize'!$J$36:$J$69,MATCH(AD3,'Transportation - Oversize'!$B$36:$B$69,0))</f>
        <v>1082383.6885391353</v>
      </c>
      <c r="AE4" s="136">
        <f>INDEX('Transportation - Oversize'!$J$36:$J$69,MATCH(AE3,'Transportation - Oversize'!$B$36:$B$69,0))</f>
        <v>307223.02569294273</v>
      </c>
    </row>
    <row r="5" spans="1:33">
      <c r="A5" s="720" t="s">
        <v>252</v>
      </c>
      <c r="B5" s="721"/>
      <c r="C5" s="722"/>
      <c r="D5" s="115">
        <f>D4</f>
        <v>256817.93367387581</v>
      </c>
      <c r="E5" s="115">
        <f>D5+E4</f>
        <v>918845.52719227201</v>
      </c>
      <c r="F5" s="115">
        <f>E5+F4</f>
        <v>2079792.951643371</v>
      </c>
      <c r="G5" s="115">
        <f>F5+G4</f>
        <v>3454966.4812463815</v>
      </c>
      <c r="H5" s="115">
        <f>G5+H4</f>
        <v>4857643.4814414522</v>
      </c>
      <c r="I5" s="115">
        <f>H5+I4</f>
        <v>6288374.0216404237</v>
      </c>
      <c r="J5" s="115">
        <f t="shared" ref="J5:AE5" si="0">I5+J4</f>
        <v>7747719.1726433747</v>
      </c>
      <c r="K5" s="115">
        <f>J5+K4</f>
        <v>9236251.2266663853</v>
      </c>
      <c r="L5" s="115">
        <f>K5+L4</f>
        <v>10754553.921769856</v>
      </c>
      <c r="M5" s="115">
        <f>L5+M4</f>
        <v>12303222.670775395</v>
      </c>
      <c r="N5" s="115">
        <f>M5+N4</f>
        <v>13882864.794761047</v>
      </c>
      <c r="O5" s="115">
        <f>N5+O4</f>
        <v>15494099.76122641</v>
      </c>
      <c r="P5" s="115">
        <f t="shared" si="0"/>
        <v>17137559.427021082</v>
      </c>
      <c r="Q5" s="115">
        <f t="shared" si="0"/>
        <v>18813888.286131646</v>
      </c>
      <c r="R5" s="115">
        <f t="shared" si="0"/>
        <v>20523743.722424421</v>
      </c>
      <c r="S5" s="115">
        <f t="shared" si="0"/>
        <v>22267796.267443053</v>
      </c>
      <c r="T5" s="115">
        <f t="shared" si="0"/>
        <v>24046729.863362059</v>
      </c>
      <c r="U5" s="115">
        <f t="shared" si="0"/>
        <v>25861242.131199442</v>
      </c>
      <c r="V5" s="115">
        <f t="shared" si="0"/>
        <v>27712044.644393574</v>
      </c>
      <c r="W5" s="115">
        <f t="shared" si="0"/>
        <v>29599863.207851589</v>
      </c>
      <c r="X5" s="115">
        <f t="shared" si="0"/>
        <v>31525438.142578766</v>
      </c>
      <c r="Y5" s="115">
        <f t="shared" si="0"/>
        <v>33489524.576000486</v>
      </c>
      <c r="Z5" s="115">
        <f t="shared" si="0"/>
        <v>35492892.738090642</v>
      </c>
      <c r="AA5" s="115">
        <f t="shared" si="0"/>
        <v>37536328.263422601</v>
      </c>
      <c r="AB5" s="115">
        <f t="shared" si="0"/>
        <v>39620632.4992612</v>
      </c>
      <c r="AC5" s="115">
        <f t="shared" si="0"/>
        <v>41325285.77834516</v>
      </c>
      <c r="AD5" s="115">
        <f t="shared" si="0"/>
        <v>42407669.466884293</v>
      </c>
      <c r="AE5" s="115">
        <f t="shared" si="0"/>
        <v>42714892.492577232</v>
      </c>
    </row>
    <row r="6" spans="1:33">
      <c r="A6" s="541"/>
      <c r="B6" s="541"/>
      <c r="C6" s="541"/>
      <c r="D6" s="544"/>
      <c r="E6" s="544"/>
      <c r="F6" s="544"/>
      <c r="G6" s="544"/>
      <c r="H6" s="544"/>
      <c r="I6" s="544"/>
      <c r="J6" s="544"/>
      <c r="K6" s="544"/>
      <c r="L6" s="544"/>
      <c r="M6" s="544"/>
      <c r="N6" s="544"/>
      <c r="O6" s="544"/>
      <c r="P6" s="544"/>
      <c r="Q6" s="544"/>
      <c r="R6" s="544"/>
      <c r="S6" s="544"/>
      <c r="T6" s="544"/>
      <c r="U6" s="544"/>
      <c r="V6" s="544"/>
      <c r="W6" s="544"/>
      <c r="X6" s="544"/>
      <c r="Y6" s="544"/>
      <c r="Z6" s="544"/>
      <c r="AA6" s="544"/>
      <c r="AB6" s="544"/>
      <c r="AC6" s="544"/>
      <c r="AD6" s="544"/>
      <c r="AE6" s="544"/>
    </row>
    <row r="7" spans="1:33">
      <c r="A7" s="542" t="s">
        <v>250</v>
      </c>
      <c r="B7" s="542" t="s">
        <v>152</v>
      </c>
      <c r="C7" s="543" t="s">
        <v>101</v>
      </c>
      <c r="D7" s="543" t="str">
        <f>INDEX('Transportation - Oversize'!$L$13:$AM$17, MATCH('Transportation Recovery'!$B$7,'Transportation - Oversize'!$B$13:$B$17,0),MATCH('Transportation Recovery'!D3,'Transportation - Oversize'!$L$10:$AM$10,0))</f>
        <v/>
      </c>
      <c r="E7" s="543">
        <f>INDEX('Transportation - Oversize'!$L$13:$AM$17, MATCH('Transportation Recovery'!$B$7,'Transportation - Oversize'!$B$13:$B$17,0),MATCH('Transportation Recovery'!E3,'Transportation - Oversize'!$L$10:$AM$10,0))</f>
        <v>3063985.2130660699</v>
      </c>
      <c r="F7" s="543">
        <f>INDEX('Transportation - Oversize'!$L$13:$AM$17, MATCH('Transportation Recovery'!$B$7,'Transportation - Oversize'!$B$13:$B$17,0),MATCH('Transportation Recovery'!F3,'Transportation - Oversize'!$L$10:$AM$10,0))</f>
        <v>3140584.8433927214</v>
      </c>
      <c r="G7" s="543" t="str">
        <f>INDEX('Transportation - Oversize'!$L$13:$AM$17, MATCH('Transportation Recovery'!$B$7,'Transportation - Oversize'!$B$13:$B$17,0),MATCH('Transportation Recovery'!G3,'Transportation - Oversize'!$L$10:$AM$10,0))</f>
        <v/>
      </c>
      <c r="H7" s="543" t="str">
        <f>INDEX('Transportation - Oversize'!$L$13:$AM$17, MATCH('Transportation Recovery'!$B$7,'Transportation - Oversize'!$B$13:$B$17,0),MATCH('Transportation Recovery'!H3,'Transportation - Oversize'!$L$10:$AM$10,0))</f>
        <v/>
      </c>
      <c r="I7" s="543" t="str">
        <f>INDEX('Transportation - Oversize'!$L$13:$AM$17, MATCH('Transportation Recovery'!$B$7,'Transportation - Oversize'!$B$13:$B$17,0),MATCH('Transportation Recovery'!I3,'Transportation - Oversize'!$L$10:$AM$10,0))</f>
        <v/>
      </c>
      <c r="J7" s="543" t="str">
        <f>INDEX('Transportation - Oversize'!$L$13:$AM$17, MATCH('Transportation Recovery'!$B$7,'Transportation - Oversize'!$B$13:$B$17,0),MATCH('Transportation Recovery'!J3,'Transportation - Oversize'!$L$10:$AM$10,0))</f>
        <v/>
      </c>
      <c r="K7" s="543" t="str">
        <f>INDEX('Transportation - Oversize'!$L$13:$AM$17, MATCH('Transportation Recovery'!$B$7,'Transportation - Oversize'!$B$13:$B$17,0),MATCH('Transportation Recovery'!K3,'Transportation - Oversize'!$L$10:$AM$10,0))</f>
        <v/>
      </c>
      <c r="L7" s="543" t="str">
        <f>INDEX('Transportation - Oversize'!$L$13:$AM$17, MATCH('Transportation Recovery'!$B$7,'Transportation - Oversize'!$B$13:$B$17,0),MATCH('Transportation Recovery'!L3,'Transportation - Oversize'!$L$10:$AM$10,0))</f>
        <v/>
      </c>
      <c r="M7" s="543" t="str">
        <f>INDEX('Transportation - Oversize'!$L$13:$AM$17, MATCH('Transportation Recovery'!$B$7,'Transportation - Oversize'!$B$13:$B$17,0),MATCH('Transportation Recovery'!M3,'Transportation - Oversize'!$L$10:$AM$10,0))</f>
        <v/>
      </c>
      <c r="N7" s="543" t="str">
        <f>INDEX('Transportation - Oversize'!$L$13:$AM$17, MATCH('Transportation Recovery'!$B$7,'Transportation - Oversize'!$B$13:$B$17,0),MATCH('Transportation Recovery'!N3,'Transportation - Oversize'!$L$10:$AM$10,0))</f>
        <v/>
      </c>
      <c r="O7" s="543" t="str">
        <f>INDEX('Transportation - Oversize'!$L$13:$AM$17, MATCH('Transportation Recovery'!$B$7,'Transportation - Oversize'!$B$13:$B$17,0),MATCH('Transportation Recovery'!O3,'Transportation - Oversize'!$L$10:$AM$10,0))</f>
        <v/>
      </c>
      <c r="P7" s="543" t="str">
        <f>INDEX('Transportation - Oversize'!$L$13:$AM$17, MATCH('Transportation Recovery'!$B$7,'Transportation - Oversize'!$B$13:$B$17,0),MATCH('Transportation Recovery'!P3,'Transportation - Oversize'!$L$10:$AM$10,0))</f>
        <v/>
      </c>
      <c r="Q7" s="543" t="str">
        <f>INDEX('Transportation - Oversize'!$L$13:$AM$17, MATCH('Transportation Recovery'!$B$7,'Transportation - Oversize'!$B$13:$B$17,0),MATCH('Transportation Recovery'!Q3,'Transportation - Oversize'!$L$10:$AM$10,0))</f>
        <v/>
      </c>
      <c r="R7" s="543" t="str">
        <f>INDEX('Transportation - Oversize'!$L$13:$AM$17, MATCH('Transportation Recovery'!$B$7,'Transportation - Oversize'!$B$13:$B$17,0),MATCH('Transportation Recovery'!R3,'Transportation - Oversize'!$L$10:$AM$10,0))</f>
        <v/>
      </c>
      <c r="S7" s="543" t="str">
        <f>INDEX('Transportation - Oversize'!$L$13:$AM$17, MATCH('Transportation Recovery'!$B$7,'Transportation - Oversize'!$B$13:$B$17,0),MATCH('Transportation Recovery'!S3,'Transportation - Oversize'!$L$10:$AM$10,0))</f>
        <v/>
      </c>
      <c r="T7" s="543" t="str">
        <f>INDEX('Transportation - Oversize'!$L$13:$AM$17, MATCH('Transportation Recovery'!$B$7,'Transportation - Oversize'!$B$13:$B$17,0),MATCH('Transportation Recovery'!T3,'Transportation - Oversize'!$L$10:$AM$10,0))</f>
        <v/>
      </c>
      <c r="U7" s="543" t="str">
        <f>INDEX('Transportation - Oversize'!$L$13:$AM$17, MATCH('Transportation Recovery'!$B$7,'Transportation - Oversize'!$B$13:$B$17,0),MATCH('Transportation Recovery'!U3,'Transportation - Oversize'!$L$10:$AM$10,0))</f>
        <v/>
      </c>
      <c r="V7" s="543" t="str">
        <f>INDEX('Transportation - Oversize'!$L$13:$AM$17, MATCH('Transportation Recovery'!$B$7,'Transportation - Oversize'!$B$13:$B$17,0),MATCH('Transportation Recovery'!V3,'Transportation - Oversize'!$L$10:$AM$10,0))</f>
        <v/>
      </c>
      <c r="W7" s="543" t="str">
        <f>INDEX('Transportation - Oversize'!$L$13:$AM$17, MATCH('Transportation Recovery'!$B$7,'Transportation - Oversize'!$B$13:$B$17,0),MATCH('Transportation Recovery'!W3,'Transportation - Oversize'!$L$10:$AM$10,0))</f>
        <v/>
      </c>
      <c r="X7" s="543" t="str">
        <f>INDEX('Transportation - Oversize'!$L$13:$AM$17, MATCH('Transportation Recovery'!$B$7,'Transportation - Oversize'!$B$13:$B$17,0),MATCH('Transportation Recovery'!X3,'Transportation - Oversize'!$L$10:$AM$10,0))</f>
        <v/>
      </c>
      <c r="Y7" s="543" t="str">
        <f>INDEX('Transportation - Oversize'!$L$13:$AM$17, MATCH('Transportation Recovery'!$B$7,'Transportation - Oversize'!$B$13:$B$17,0),MATCH('Transportation Recovery'!Y3,'Transportation - Oversize'!$L$10:$AM$10,0))</f>
        <v/>
      </c>
      <c r="Z7" s="543" t="str">
        <f>INDEX('Transportation - Oversize'!$L$13:$AM$17, MATCH('Transportation Recovery'!$B$7,'Transportation - Oversize'!$B$13:$B$17,0),MATCH('Transportation Recovery'!Z3,'Transportation - Oversize'!$L$10:$AM$10,0))</f>
        <v/>
      </c>
      <c r="AA7" s="543" t="str">
        <f>INDEX('Transportation - Oversize'!$L$13:$AM$17, MATCH('Transportation Recovery'!$B$7,'Transportation - Oversize'!$B$13:$B$17,0),MATCH('Transportation Recovery'!AA3,'Transportation - Oversize'!$L$10:$AM$10,0))</f>
        <v/>
      </c>
      <c r="AB7" s="543" t="str">
        <f>INDEX('Transportation - Oversize'!$L$13:$AM$17, MATCH('Transportation Recovery'!$B$7,'Transportation - Oversize'!$B$13:$B$17,0),MATCH('Transportation Recovery'!AB3,'Transportation - Oversize'!$L$10:$AM$10,0))</f>
        <v/>
      </c>
      <c r="AC7" s="543" t="str">
        <f>INDEX('Transportation - Oversize'!$L$13:$AM$17, MATCH('Transportation Recovery'!$B$7,'Transportation - Oversize'!$B$13:$B$17,0),MATCH('Transportation Recovery'!AC3,'Transportation - Oversize'!$L$10:$AM$10,0))</f>
        <v/>
      </c>
      <c r="AD7" s="543" t="str">
        <f>INDEX('Transportation - Oversize'!$L$13:$AM$17, MATCH('Transportation Recovery'!$B$7,'Transportation - Oversize'!$B$13:$B$17,0),MATCH('Transportation Recovery'!AD3,'Transportation - Oversize'!$L$10:$AM$10,0))</f>
        <v/>
      </c>
      <c r="AE7" s="543" t="str">
        <f>INDEX('Transportation - Oversize'!$L$13:$AM$17, MATCH('Transportation Recovery'!$B$7,'Transportation - Oversize'!$B$13:$B$17,0),MATCH('Transportation Recovery'!AE3,'Transportation - Oversize'!$L$10:$AM$10,0))</f>
        <v/>
      </c>
    </row>
    <row r="8" spans="1:33">
      <c r="A8" s="540"/>
      <c r="B8" s="134"/>
      <c r="C8" s="114"/>
      <c r="D8" s="114"/>
      <c r="E8" s="114" cm="1">
        <f t="array" ref="E8">_xlfn.LET(_xlpm.x, F5-SUM($D$7:F7),IF(OR(_xlpm.x&lt;0, INDEX(E:E,ROW()-1)&lt;0), _xlpm.x, 0))</f>
        <v>-4124777.1048154207</v>
      </c>
      <c r="F8" s="114" cm="1">
        <f t="array" ref="F8">_xlfn.LET(_xlpm.x, G5-SUM($D$7:G7),IF(OR(_xlpm.x&lt;0, INDEX(F:F,ROW()-1)&lt;0), _xlpm.x, 0))</f>
        <v>-2749603.5752124102</v>
      </c>
      <c r="G8" s="114" cm="1">
        <f t="array" ref="G8">_xlfn.LET(_xlpm.x, H5-SUM($D$7:H7),IF(OR(_xlpm.x&lt;0, INDEX(G:G,ROW()-1)&lt;0), _xlpm.x, 0))</f>
        <v>-1346926.5750173395</v>
      </c>
      <c r="H8" s="310" cm="1">
        <f t="array" ref="H8">_xlfn.LET(_xlpm.x, I5-SUM($D$7:I7),IF(OR(_xlpm.x&lt;0, INDEX(H:H,ROW()-1)&lt;0), _xlpm.x, 0))</f>
        <v>0</v>
      </c>
      <c r="I8" s="114" cm="1">
        <f t="array" ref="I8">_xlfn.LET(_xlpm.x, J5-SUM($D$7:J7),IF(OR(_xlpm.x&lt;0, INDEX(I:I,ROW()-1)&lt;0), _xlpm.x, 0))</f>
        <v>0</v>
      </c>
      <c r="J8" s="114" cm="1">
        <f t="array" ref="J8">_xlfn.LET(_xlpm.x, K5-SUM($D$7:K7),IF(OR(_xlpm.x&lt;0, INDEX(J:J,ROW()-1)&lt;0), _xlpm.x, 0))</f>
        <v>0</v>
      </c>
      <c r="K8" s="114" cm="1">
        <f t="array" ref="K8">_xlfn.LET(_xlpm.x, L5-SUM($D$7:L7),IF(OR(_xlpm.x&lt;0, INDEX(K:K,ROW()-1)&lt;0), _xlpm.x, 0))</f>
        <v>0</v>
      </c>
      <c r="L8" s="114"/>
      <c r="M8" s="114"/>
      <c r="N8" s="114"/>
      <c r="O8" s="114"/>
      <c r="P8" s="114"/>
      <c r="Q8" s="114"/>
      <c r="R8" s="114"/>
      <c r="S8" s="114"/>
      <c r="T8" s="114"/>
      <c r="U8" s="114"/>
      <c r="V8" s="114"/>
      <c r="W8" s="114"/>
      <c r="X8" s="114"/>
      <c r="Y8" s="114"/>
      <c r="Z8" s="114"/>
      <c r="AA8" s="114"/>
      <c r="AB8" s="114"/>
      <c r="AC8" s="114"/>
      <c r="AD8" s="114"/>
      <c r="AE8" s="114"/>
    </row>
    <row r="9" spans="1:33">
      <c r="A9" s="137" t="s">
        <v>250</v>
      </c>
      <c r="B9" s="137" t="s">
        <v>153</v>
      </c>
      <c r="C9" s="138" t="s">
        <v>101</v>
      </c>
      <c r="D9" s="138" t="str">
        <f>INDEX('Transportation - Oversize'!$L$13:$AM$17, MATCH($B$9,'Transportation - Oversize'!$B$13:$B$17,0),MATCH('Transportation Recovery'!D3,'Transportation - Oversize'!$L$10:$AM$10,0))</f>
        <v/>
      </c>
      <c r="E9" s="138" t="str">
        <f>INDEX('Transportation - Oversize'!$L$13:$AM$17, MATCH($B$9,'Transportation - Oversize'!$B$13:$B$17,0),MATCH('Transportation Recovery'!E3,'Transportation - Oversize'!$L$10:$AM$10,0))</f>
        <v/>
      </c>
      <c r="F9" s="138" t="str">
        <f>INDEX('Transportation - Oversize'!$L$13:$AM$17, MATCH($B$9,'Transportation - Oversize'!$B$13:$B$17,0),MATCH('Transportation Recovery'!F3,'Transportation - Oversize'!$L$10:$AM$10,0))</f>
        <v/>
      </c>
      <c r="G9" s="138" t="str">
        <f>INDEX('Transportation - Oversize'!$L$13:$AM$17, MATCH($B$9,'Transportation - Oversize'!$B$13:$B$17,0),MATCH('Transportation Recovery'!G3,'Transportation - Oversize'!$L$10:$AM$10,0))</f>
        <v/>
      </c>
      <c r="H9" s="138" t="str">
        <f>INDEX('Transportation - Oversize'!$L$13:$AM$17, MATCH($B$9,'Transportation - Oversize'!$B$13:$B$17,0),MATCH('Transportation Recovery'!H3,'Transportation - Oversize'!$L$10:$AM$10,0))</f>
        <v/>
      </c>
      <c r="I9" s="138" t="str">
        <f>INDEX('Transportation - Oversize'!$L$13:$AM$17, MATCH($B$9,'Transportation - Oversize'!$B$13:$B$17,0),MATCH('Transportation Recovery'!I3,'Transportation - Oversize'!$L$10:$AM$10,0))</f>
        <v/>
      </c>
      <c r="J9" s="138" t="str">
        <f>INDEX('Transportation - Oversize'!$L$13:$AM$17, MATCH($B$9,'Transportation - Oversize'!$B$13:$B$17,0),MATCH('Transportation Recovery'!J3,'Transportation - Oversize'!$L$10:$AM$10,0))</f>
        <v/>
      </c>
      <c r="K9" s="138" t="str">
        <f>INDEX('Transportation - Oversize'!$L$13:$AM$17, MATCH($B$9,'Transportation - Oversize'!$B$13:$B$17,0),MATCH('Transportation Recovery'!K3,'Transportation - Oversize'!$L$10:$AM$10,0))</f>
        <v/>
      </c>
      <c r="L9" s="138" t="str">
        <f>INDEX('Transportation - Oversize'!$L$13:$AM$17, MATCH($B$9,'Transportation - Oversize'!$B$13:$B$17,0),MATCH('Transportation Recovery'!L3,'Transportation - Oversize'!$L$10:$AM$10,0))</f>
        <v/>
      </c>
      <c r="M9" s="138">
        <f>INDEX('Transportation - Oversize'!$L$13:$AM$17, MATCH($B$9,'Transportation - Oversize'!$B$13:$B$17,0),MATCH('Transportation Recovery'!M3,'Transportation - Oversize'!$L$10:$AM$10,0))</f>
        <v>6671032.2824446745</v>
      </c>
      <c r="N9" s="138">
        <f>INDEX('Transportation - Oversize'!$L$13:$AM$17, MATCH($B$9,'Transportation - Oversize'!$B$13:$B$17,0),MATCH('Transportation Recovery'!N3,'Transportation - Oversize'!$L$10:$AM$10,0))</f>
        <v>6837808.0895057898</v>
      </c>
      <c r="O9" s="138" t="str">
        <f>INDEX('Transportation - Oversize'!$L$13:$AM$17, MATCH($B$9,'Transportation - Oversize'!$B$13:$B$17,0),MATCH('Transportation Recovery'!O3,'Transportation - Oversize'!$L$10:$AM$10,0))</f>
        <v/>
      </c>
      <c r="P9" s="138" t="str">
        <f>INDEX('Transportation - Oversize'!$L$13:$AM$17, MATCH($B$9,'Transportation - Oversize'!$B$13:$B$17,0),MATCH('Transportation Recovery'!P3,'Transportation - Oversize'!$L$10:$AM$10,0))</f>
        <v/>
      </c>
      <c r="Q9" s="138" t="str">
        <f>INDEX('Transportation - Oversize'!$L$13:$AM$17, MATCH($B$9,'Transportation - Oversize'!$B$13:$B$17,0),MATCH('Transportation Recovery'!Q3,'Transportation - Oversize'!$L$10:$AM$10,0))</f>
        <v/>
      </c>
      <c r="R9" s="138" t="str">
        <f>INDEX('Transportation - Oversize'!$L$13:$AM$17, MATCH($B$9,'Transportation - Oversize'!$B$13:$B$17,0),MATCH('Transportation Recovery'!R3,'Transportation - Oversize'!$L$10:$AM$10,0))</f>
        <v/>
      </c>
      <c r="S9" s="138" t="str">
        <f>INDEX('Transportation - Oversize'!$L$13:$AM$17, MATCH($B$9,'Transportation - Oversize'!$B$13:$B$17,0),MATCH('Transportation Recovery'!S3,'Transportation - Oversize'!$L$10:$AM$10,0))</f>
        <v/>
      </c>
      <c r="T9" s="138" t="str">
        <f>INDEX('Transportation - Oversize'!$L$13:$AM$17, MATCH($B$9,'Transportation - Oversize'!$B$13:$B$17,0),MATCH('Transportation Recovery'!T3,'Transportation - Oversize'!$L$10:$AM$10,0))</f>
        <v/>
      </c>
      <c r="U9" s="138" t="str">
        <f>INDEX('Transportation - Oversize'!$L$13:$AM$17, MATCH($B$9,'Transportation - Oversize'!$B$13:$B$17,0),MATCH('Transportation Recovery'!U3,'Transportation - Oversize'!$L$10:$AM$10,0))</f>
        <v/>
      </c>
      <c r="V9" s="138" t="str">
        <f>INDEX('Transportation - Oversize'!$L$13:$AM$17, MATCH($B$9,'Transportation - Oversize'!$B$13:$B$17,0),MATCH('Transportation Recovery'!V3,'Transportation - Oversize'!$L$10:$AM$10,0))</f>
        <v/>
      </c>
      <c r="W9" s="138" t="str">
        <f>INDEX('Transportation - Oversize'!$L$13:$AM$17, MATCH($B$9,'Transportation - Oversize'!$B$13:$B$17,0),MATCH('Transportation Recovery'!W3,'Transportation - Oversize'!$L$10:$AM$10,0))</f>
        <v/>
      </c>
      <c r="X9" s="138" t="str">
        <f>INDEX('Transportation - Oversize'!$L$13:$AM$17, MATCH($B$9,'Transportation - Oversize'!$B$13:$B$17,0),MATCH('Transportation Recovery'!X3,'Transportation - Oversize'!$L$10:$AM$10,0))</f>
        <v/>
      </c>
      <c r="Y9" s="138" t="str">
        <f>INDEX('Transportation - Oversize'!$L$13:$AM$17, MATCH($B$9,'Transportation - Oversize'!$B$13:$B$17,0),MATCH('Transportation Recovery'!Y3,'Transportation - Oversize'!$L$10:$AM$10,0))</f>
        <v/>
      </c>
      <c r="Z9" s="138" t="str">
        <f>INDEX('Transportation - Oversize'!$L$13:$AM$17, MATCH($B$9,'Transportation - Oversize'!$B$13:$B$17,0),MATCH('Transportation Recovery'!Z3,'Transportation - Oversize'!$L$10:$AM$10,0))</f>
        <v/>
      </c>
      <c r="AA9" s="138" t="str">
        <f>INDEX('Transportation - Oversize'!$L$13:$AM$17, MATCH($B$9,'Transportation - Oversize'!$B$13:$B$17,0),MATCH('Transportation Recovery'!AA3,'Transportation - Oversize'!$L$10:$AM$10,0))</f>
        <v/>
      </c>
      <c r="AB9" s="138" t="str">
        <f>INDEX('Transportation - Oversize'!$L$13:$AM$17, MATCH($B$9,'Transportation - Oversize'!$B$13:$B$17,0),MATCH('Transportation Recovery'!AB3,'Transportation - Oversize'!$L$10:$AM$10,0))</f>
        <v/>
      </c>
      <c r="AC9" s="138" t="str">
        <f>INDEX('Transportation - Oversize'!$L$13:$AM$17, MATCH($B$9,'Transportation - Oversize'!$B$13:$B$17,0),MATCH('Transportation Recovery'!AC3,'Transportation - Oversize'!$L$10:$AM$10,0))</f>
        <v/>
      </c>
      <c r="AD9" s="138" t="str">
        <f>INDEX('Transportation - Oversize'!$L$13:$AM$17, MATCH($B$9,'Transportation - Oversize'!$B$13:$B$17,0),MATCH('Transportation Recovery'!AD3,'Transportation - Oversize'!$L$10:$AM$10,0))</f>
        <v/>
      </c>
      <c r="AE9" s="138" t="str">
        <f>INDEX('Transportation - Oversize'!$L$13:$AM$17, MATCH($B$9,'Transportation - Oversize'!$B$13:$B$17,0),MATCH('Transportation Recovery'!AE3,'Transportation - Oversize'!$L$10:$AM$10,0))</f>
        <v/>
      </c>
    </row>
    <row r="10" spans="1:33">
      <c r="A10" s="540"/>
      <c r="B10" s="134"/>
      <c r="C10" s="114"/>
      <c r="D10" s="114"/>
      <c r="E10" s="114"/>
      <c r="F10" s="114"/>
      <c r="G10" s="114"/>
      <c r="H10" s="114"/>
      <c r="I10" s="114"/>
      <c r="J10" s="114"/>
      <c r="K10" s="114"/>
      <c r="L10" s="114"/>
      <c r="M10" s="114" cm="1">
        <f t="array" ref="M10">_xlfn.LET(_xlpm.x, N5-SUM($D$7:N7)-SUM($D$9:N9),IF(OR(_xlpm.x&lt;0, INDEX(M:M,ROW()-1)&lt;0), _xlpm.x, 0))</f>
        <v>-5830545.6336482093</v>
      </c>
      <c r="N10" s="114" cm="1">
        <f t="array" ref="N10">_xlfn.LET(_xlpm.x, O5-SUM($D$7:O7)-SUM($D$9:O9),IF(OR(_xlpm.x&lt;0, INDEX(N:N,ROW()-1)&lt;0), _xlpm.x, 0))</f>
        <v>-4219310.667182846</v>
      </c>
      <c r="O10" s="114" cm="1">
        <f t="array" ref="O10">_xlfn.LET(_xlpm.x, P5-SUM($D$7:P7)-SUM($D$9:P9),IF(OR(_xlpm.x&lt;0, INDEX(O:O,ROW()-1)&lt;0), _xlpm.x, 0))</f>
        <v>-2575851.0013881736</v>
      </c>
      <c r="P10" s="114" cm="1">
        <f t="array" ref="P10">_xlfn.LET(_xlpm.x, Q5-SUM($D$7:Q7)-SUM($D$9:Q9),IF(OR(_xlpm.x&lt;0, INDEX(P:P,ROW()-1)&lt;0), _xlpm.x, 0))</f>
        <v>-899522.14227760956</v>
      </c>
      <c r="Q10" s="310" cm="1">
        <f t="array" ref="Q10">_xlfn.LET(_xlpm.x, R5-SUM($D$7:R7)-SUM($D$9:R9),IF(OR(_xlpm.x&lt;0, INDEX(Q:Q,ROW()-1)&lt;0), _xlpm.x, 0))</f>
        <v>0</v>
      </c>
      <c r="R10" s="114" cm="1">
        <f t="array" ref="R10">_xlfn.LET(_xlpm.x, S5-SUM($D$7:S7)-SUM($D$9:S9),IF(OR(_xlpm.x&lt;0, INDEX(R:R,ROW()-1)&lt;0), _xlpm.x, 0))</f>
        <v>0</v>
      </c>
      <c r="S10" s="114" cm="1">
        <f t="array" ref="S10">_xlfn.LET(_xlpm.x, T5-SUM($D$7:T7)-SUM($D$9:T9),IF(OR(_xlpm.x&lt;0, INDEX(S:S,ROW()-1)&lt;0), _xlpm.x, 0))</f>
        <v>0</v>
      </c>
      <c r="T10" s="114" cm="1">
        <f t="array" ref="T10">_xlfn.LET(_xlpm.x, U5-SUM($D$7:U7)-SUM($D$9:U9),IF(OR(_xlpm.x&lt;0, INDEX(T:T,ROW()-1)&lt;0), _xlpm.x, 0))</f>
        <v>0</v>
      </c>
      <c r="U10" s="114"/>
      <c r="V10" s="114"/>
      <c r="W10" s="114"/>
      <c r="X10" s="114"/>
      <c r="Y10" s="114"/>
      <c r="Z10" s="114"/>
      <c r="AA10" s="114"/>
      <c r="AB10" s="114"/>
      <c r="AC10" s="114"/>
      <c r="AD10" s="114"/>
      <c r="AE10" s="114"/>
    </row>
    <row r="11" spans="1:33">
      <c r="A11" s="137" t="s">
        <v>250</v>
      </c>
      <c r="B11" s="137" t="s">
        <v>154</v>
      </c>
      <c r="C11" s="138" t="s">
        <v>101</v>
      </c>
      <c r="D11" s="138" t="str">
        <f>INDEX('Transportation - Oversize'!$L$13:$AM$17, MATCH('Transportation Recovery'!$B$11,'Transportation - Oversize'!$B$13:$B$17,0),MATCH('Transportation Recovery'!D3,'Transportation - Oversize'!$L$10:$AM$10,0))</f>
        <v/>
      </c>
      <c r="E11" s="138" t="str">
        <f>INDEX('Transportation - Oversize'!$L$13:$AM$17, MATCH('Transportation Recovery'!$B$11,'Transportation - Oversize'!$B$13:$B$17,0),MATCH('Transportation Recovery'!E3,'Transportation - Oversize'!$L$10:$AM$10,0))</f>
        <v/>
      </c>
      <c r="F11" s="138" t="str">
        <f>INDEX('Transportation - Oversize'!$L$13:$AM$17, MATCH('Transportation Recovery'!$B$11,'Transportation - Oversize'!$B$13:$B$17,0),MATCH('Transportation Recovery'!F3,'Transportation - Oversize'!$L$10:$AM$10,0))</f>
        <v/>
      </c>
      <c r="G11" s="138" t="str">
        <f>INDEX('Transportation - Oversize'!$L$13:$AM$17, MATCH('Transportation Recovery'!$B$11,'Transportation - Oversize'!$B$13:$B$17,0),MATCH('Transportation Recovery'!G3,'Transportation - Oversize'!$L$10:$AM$10,0))</f>
        <v/>
      </c>
      <c r="H11" s="138" t="str">
        <f>INDEX('Transportation - Oversize'!$L$13:$AM$17, MATCH('Transportation Recovery'!$B$11,'Transportation - Oversize'!$B$13:$B$17,0),MATCH('Transportation Recovery'!H3,'Transportation - Oversize'!$L$10:$AM$10,0))</f>
        <v/>
      </c>
      <c r="I11" s="138" t="str">
        <f>INDEX('Transportation - Oversize'!$L$13:$AM$17, MATCH('Transportation Recovery'!$B$11,'Transportation - Oversize'!$B$13:$B$17,0),MATCH('Transportation Recovery'!I3,'Transportation - Oversize'!$L$10:$AM$10,0))</f>
        <v/>
      </c>
      <c r="J11" s="138" t="str">
        <f>INDEX('Transportation - Oversize'!$L$13:$AM$17, MATCH('Transportation Recovery'!$B$11,'Transportation - Oversize'!$B$13:$B$17,0),MATCH('Transportation Recovery'!J3,'Transportation - Oversize'!$L$10:$AM$10,0))</f>
        <v/>
      </c>
      <c r="K11" s="138" t="str">
        <f>INDEX('Transportation - Oversize'!$L$13:$AM$17, MATCH('Transportation Recovery'!$B$11,'Transportation - Oversize'!$B$13:$B$17,0),MATCH('Transportation Recovery'!K3,'Transportation - Oversize'!$L$10:$AM$10,0))</f>
        <v/>
      </c>
      <c r="L11" s="138" t="str">
        <f>INDEX('Transportation - Oversize'!$L$13:$AM$17, MATCH('Transportation Recovery'!$B$11,'Transportation - Oversize'!$B$13:$B$17,0),MATCH('Transportation Recovery'!L3,'Transportation - Oversize'!$L$10:$AM$10,0))</f>
        <v/>
      </c>
      <c r="M11" s="138" t="str">
        <f>INDEX('Transportation - Oversize'!$L$13:$AM$17, MATCH('Transportation Recovery'!$B$11,'Transportation - Oversize'!$B$13:$B$17,0),MATCH('Transportation Recovery'!M3,'Transportation - Oversize'!$L$10:$AM$10,0))</f>
        <v/>
      </c>
      <c r="N11" s="138" t="str">
        <f>INDEX('Transportation - Oversize'!$L$13:$AM$17, MATCH('Transportation Recovery'!$B$11,'Transportation - Oversize'!$B$13:$B$17,0),MATCH('Transportation Recovery'!N3,'Transportation - Oversize'!$L$10:$AM$10,0))</f>
        <v/>
      </c>
      <c r="O11" s="138" t="str">
        <f>INDEX('Transportation - Oversize'!$L$13:$AM$17, MATCH('Transportation Recovery'!$B$11,'Transportation - Oversize'!$B$13:$B$17,0),MATCH('Transportation Recovery'!O3,'Transportation - Oversize'!$L$10:$AM$10,0))</f>
        <v/>
      </c>
      <c r="P11" s="138" t="str">
        <f>INDEX('Transportation - Oversize'!$L$13:$AM$17, MATCH('Transportation Recovery'!$B$11,'Transportation - Oversize'!$B$13:$B$17,0),MATCH('Transportation Recovery'!P3,'Transportation - Oversize'!$L$10:$AM$10,0))</f>
        <v/>
      </c>
      <c r="Q11" s="138" t="str">
        <f>INDEX('Transportation - Oversize'!$L$13:$AM$17, MATCH('Transportation Recovery'!$B$11,'Transportation - Oversize'!$B$13:$B$17,0),MATCH('Transportation Recovery'!Q3,'Transportation - Oversize'!$L$10:$AM$10,0))</f>
        <v/>
      </c>
      <c r="R11" s="138" t="str">
        <f>INDEX('Transportation - Oversize'!$L$13:$AM$17, MATCH('Transportation Recovery'!$B$11,'Transportation - Oversize'!$B$13:$B$17,0),MATCH('Transportation Recovery'!R3,'Transportation - Oversize'!$L$10:$AM$10,0))</f>
        <v/>
      </c>
      <c r="S11" s="138" t="str">
        <f>INDEX('Transportation - Oversize'!$L$13:$AM$17, MATCH('Transportation Recovery'!$B$11,'Transportation - Oversize'!$B$13:$B$17,0),MATCH('Transportation Recovery'!S3,'Transportation - Oversize'!$L$10:$AM$10,0))</f>
        <v/>
      </c>
      <c r="T11" s="138">
        <f>INDEX('Transportation - Oversize'!$L$13:$AM$17, MATCH('Transportation Recovery'!$B$11,'Transportation - Oversize'!$B$13:$B$17,0),MATCH('Transportation Recovery'!T3,'Transportation - Oversize'!$L$10:$AM$10,0))</f>
        <v>1479188.0554203033</v>
      </c>
      <c r="U11" s="138">
        <f>INDEX('Transportation - Oversize'!$L$13:$AM$17, MATCH('Transportation Recovery'!$B$11,'Transportation - Oversize'!$B$13:$B$17,0),MATCH('Transportation Recovery'!U3,'Transportation - Oversize'!$L$10:$AM$10,0))</f>
        <v>1516167.7568058106</v>
      </c>
      <c r="V11" s="138" t="str">
        <f>INDEX('Transportation - Oversize'!$L$13:$AM$17, MATCH('Transportation Recovery'!$B$11,'Transportation - Oversize'!$B$13:$B$17,0),MATCH('Transportation Recovery'!V3,'Transportation - Oversize'!$L$10:$AM$10,0))</f>
        <v/>
      </c>
      <c r="W11" s="138" t="str">
        <f>INDEX('Transportation - Oversize'!$L$13:$AM$17, MATCH('Transportation Recovery'!$B$11,'Transportation - Oversize'!$B$13:$B$17,0),MATCH('Transportation Recovery'!W3,'Transportation - Oversize'!$L$10:$AM$10,0))</f>
        <v/>
      </c>
      <c r="X11" s="138" t="str">
        <f>INDEX('Transportation - Oversize'!$L$13:$AM$17, MATCH('Transportation Recovery'!$B$11,'Transportation - Oversize'!$B$13:$B$17,0),MATCH('Transportation Recovery'!X3,'Transportation - Oversize'!$L$10:$AM$10,0))</f>
        <v/>
      </c>
      <c r="Y11" s="138" t="str">
        <f>INDEX('Transportation - Oversize'!$L$13:$AM$17, MATCH('Transportation Recovery'!$B$11,'Transportation - Oversize'!$B$13:$B$17,0),MATCH('Transportation Recovery'!Y3,'Transportation - Oversize'!$L$10:$AM$10,0))</f>
        <v/>
      </c>
      <c r="Z11" s="138" t="str">
        <f>INDEX('Transportation - Oversize'!$L$13:$AM$17, MATCH('Transportation Recovery'!$B$11,'Transportation - Oversize'!$B$13:$B$17,0),MATCH('Transportation Recovery'!Z3,'Transportation - Oversize'!$L$10:$AM$10,0))</f>
        <v/>
      </c>
      <c r="AA11" s="138" t="str">
        <f>INDEX('Transportation - Oversize'!$L$13:$AM$17, MATCH('Transportation Recovery'!$B$11,'Transportation - Oversize'!$B$13:$B$17,0),MATCH('Transportation Recovery'!AA3,'Transportation - Oversize'!$L$10:$AM$10,0))</f>
        <v/>
      </c>
      <c r="AB11" s="138" t="str">
        <f>INDEX('Transportation - Oversize'!$L$13:$AM$17, MATCH('Transportation Recovery'!$B$11,'Transportation - Oversize'!$B$13:$B$17,0),MATCH('Transportation Recovery'!AB3,'Transportation - Oversize'!$L$10:$AM$10,0))</f>
        <v/>
      </c>
      <c r="AC11" s="138" t="str">
        <f>INDEX('Transportation - Oversize'!$L$13:$AM$17, MATCH('Transportation Recovery'!$B$11,'Transportation - Oversize'!$B$13:$B$17,0),MATCH('Transportation Recovery'!AC3,'Transportation - Oversize'!$L$10:$AM$10,0))</f>
        <v/>
      </c>
      <c r="AD11" s="138" t="str">
        <f>INDEX('Transportation - Oversize'!$L$13:$AM$17, MATCH('Transportation Recovery'!$B$11,'Transportation - Oversize'!$B$13:$B$17,0),MATCH('Transportation Recovery'!AD3,'Transportation - Oversize'!$L$10:$AM$10,0))</f>
        <v/>
      </c>
      <c r="AE11" s="138" t="str">
        <f>INDEX('Transportation - Oversize'!$L$13:$AM$17, MATCH('Transportation Recovery'!$B$11,'Transportation - Oversize'!$B$13:$B$17,0),MATCH('Transportation Recovery'!AE3,'Transportation - Oversize'!$L$10:$AM$10,0))</f>
        <v/>
      </c>
    </row>
    <row r="12" spans="1:33">
      <c r="A12" s="540"/>
      <c r="B12" s="134"/>
      <c r="C12" s="114"/>
      <c r="D12" s="114"/>
      <c r="E12" s="114"/>
      <c r="F12" s="114"/>
      <c r="G12" s="114"/>
      <c r="H12" s="114"/>
      <c r="I12" s="114"/>
      <c r="J12" s="114"/>
      <c r="K12" s="114"/>
      <c r="L12" s="114"/>
      <c r="M12" s="114"/>
      <c r="N12" s="114"/>
      <c r="O12" s="114"/>
      <c r="P12" s="114"/>
      <c r="Q12" s="114"/>
      <c r="R12" s="114"/>
      <c r="S12" s="114"/>
      <c r="T12" s="310" cm="1">
        <f t="array" ref="T12">_xlfn.LET(_xlpm.x, T5-SUM($D$7:T7)-SUM($D$9:T9)-SUM($D$11:T11),IF(OR(_xlpm.x&lt;0, INDEX(S:S,ROW()-1)&lt;0), _xlpm.x, 0))</f>
        <v>0</v>
      </c>
      <c r="U12" s="310" cm="1">
        <f t="array" ref="U12">_xlfn.LET(_xlpm.x, U5-SUM($D$7:U7)-SUM($D$9:U9)-SUM($D$11:U11),IF(OR(_xlpm.x&lt;0, INDEX(T:T,ROW()-1)&lt;0), _xlpm.x, 0))</f>
        <v>0</v>
      </c>
      <c r="V12" s="114" cm="1">
        <f t="array" ref="V12">_xlfn.LET(_xlpm.x, V5-SUM($D$7:V7)-SUM($D$9:V9)-SUM($D$11:V11),IF(OR(_xlpm.x&lt;0, INDEX(U:U,ROW()-1)&lt;0), _xlpm.x, 0))</f>
        <v>0</v>
      </c>
      <c r="W12" s="114" cm="1">
        <f t="array" ref="W12">_xlfn.LET(_xlpm.x, W5-SUM($D$7:W7)-SUM($D$9:W9)-SUM($D$11:W11),IF(OR(_xlpm.x&lt;0, INDEX(V:V,ROW()-1)&lt;0), _xlpm.x, 0))</f>
        <v>0</v>
      </c>
      <c r="X12" s="114" cm="1">
        <f t="array" ref="X12">_xlfn.LET(_xlpm.x, X5-SUM($D$7:X7)-SUM($D$9:X9)-SUM($D$11:X11),IF(OR(_xlpm.x&lt;0, INDEX(W:W,ROW()-1)&lt;0), _xlpm.x, 0))</f>
        <v>0</v>
      </c>
      <c r="Y12" s="114" cm="1">
        <f t="array" ref="Y12">_xlfn.LET(_xlpm.x, Y5-SUM($D$7:Y7)-SUM($D$9:Y9)-SUM($D$11:Y11),IF(OR(_xlpm.x&lt;0, INDEX(X:X,ROW()-1)&lt;0), _xlpm.x, 0))</f>
        <v>0</v>
      </c>
      <c r="Z12" s="114" cm="1">
        <f t="array" ref="Z12">_xlfn.LET(_xlpm.x, Z5-SUM($D$7:Z7)-SUM($D$9:Z9)-SUM($D$11:Z11),IF(OR(_xlpm.x&lt;0, INDEX(Y:Y,ROW()-1)&lt;0), _xlpm.x, 0))</f>
        <v>0</v>
      </c>
      <c r="AA12" s="114" cm="1">
        <f t="array" ref="AA12">_xlfn.LET(_xlpm.x, AA5-SUM($D$7:AA7)-SUM($D$9:AA9)-SUM($D$11:AA11),IF(OR(_xlpm.x&lt;0, INDEX(Z:Z,ROW()-1)&lt;0), _xlpm.x, 0))</f>
        <v>0</v>
      </c>
      <c r="AB12" s="114"/>
      <c r="AC12" s="114"/>
      <c r="AD12" s="114"/>
      <c r="AE12" s="114"/>
      <c r="AF12" s="114"/>
      <c r="AG12" s="114"/>
    </row>
    <row r="13" spans="1:33">
      <c r="A13" s="137" t="s">
        <v>250</v>
      </c>
      <c r="B13" s="137" t="s">
        <v>158</v>
      </c>
      <c r="C13" s="138" t="s">
        <v>101</v>
      </c>
      <c r="D13" s="138" t="str">
        <f>INDEX('Transportation - Oversize'!$L$13:$AM$17, MATCH('Transportation Recovery'!$B$13,'Transportation - Oversize'!$B$13:$B$17,0),MATCH('Transportation Recovery'!D3,'Transportation - Oversize'!$L$10:$AM$10,0))</f>
        <v/>
      </c>
      <c r="E13" s="138" t="str">
        <f>INDEX('Transportation - Oversize'!$L$13:$AM$17, MATCH('Transportation Recovery'!$B$13,'Transportation - Oversize'!$B$13:$B$17,0),MATCH('Transportation Recovery'!E3,'Transportation - Oversize'!$L$10:$AM$10,0))</f>
        <v/>
      </c>
      <c r="F13" s="138" t="str">
        <f>INDEX('Transportation - Oversize'!$L$13:$AM$17, MATCH('Transportation Recovery'!$B$13,'Transportation - Oversize'!$B$13:$B$17,0),MATCH('Transportation Recovery'!F3,'Transportation - Oversize'!$L$10:$AM$10,0))</f>
        <v/>
      </c>
      <c r="G13" s="138" t="str">
        <f>INDEX('Transportation - Oversize'!$L$13:$AM$17, MATCH('Transportation Recovery'!$B$13,'Transportation - Oversize'!$B$13:$B$17,0),MATCH('Transportation Recovery'!G3,'Transportation - Oversize'!$L$10:$AM$10,0))</f>
        <v/>
      </c>
      <c r="H13" s="138" t="str">
        <f>INDEX('Transportation - Oversize'!$L$13:$AM$17, MATCH('Transportation Recovery'!$B$13,'Transportation - Oversize'!$B$13:$B$17,0),MATCH('Transportation Recovery'!H3,'Transportation - Oversize'!$L$10:$AM$10,0))</f>
        <v/>
      </c>
      <c r="I13" s="138" t="str">
        <f>INDEX('Transportation - Oversize'!$L$13:$AM$17, MATCH('Transportation Recovery'!$B$13,'Transportation - Oversize'!$B$13:$B$17,0),MATCH('Transportation Recovery'!I3,'Transportation - Oversize'!$L$10:$AM$10,0))</f>
        <v/>
      </c>
      <c r="J13" s="138" t="str">
        <f>INDEX('Transportation - Oversize'!$L$13:$AM$17, MATCH('Transportation Recovery'!$B$13,'Transportation - Oversize'!$B$13:$B$17,0),MATCH('Transportation Recovery'!J3,'Transportation - Oversize'!$L$10:$AM$10,0))</f>
        <v/>
      </c>
      <c r="K13" s="138" t="str">
        <f>INDEX('Transportation - Oversize'!$L$13:$AM$17, MATCH('Transportation Recovery'!$B$13,'Transportation - Oversize'!$B$13:$B$17,0),MATCH('Transportation Recovery'!K3,'Transportation - Oversize'!$L$10:$AM$10,0))</f>
        <v/>
      </c>
      <c r="L13" s="138" t="str">
        <f>INDEX('Transportation - Oversize'!$L$13:$AM$17, MATCH('Transportation Recovery'!$B$13,'Transportation - Oversize'!$B$13:$B$17,0),MATCH('Transportation Recovery'!L3,'Transportation - Oversize'!$L$10:$AM$10,0))</f>
        <v/>
      </c>
      <c r="M13" s="138" t="str">
        <f>INDEX('Transportation - Oversize'!$L$13:$AM$17, MATCH('Transportation Recovery'!$B$13,'Transportation - Oversize'!$B$13:$B$17,0),MATCH('Transportation Recovery'!M3,'Transportation - Oversize'!$L$10:$AM$10,0))</f>
        <v/>
      </c>
      <c r="N13" s="138" t="str">
        <f>INDEX('Transportation - Oversize'!$L$13:$AM$17, MATCH('Transportation Recovery'!$B$13,'Transportation - Oversize'!$B$13:$B$17,0),MATCH('Transportation Recovery'!N3,'Transportation - Oversize'!$L$10:$AM$10,0))</f>
        <v/>
      </c>
      <c r="O13" s="138" t="str">
        <f>INDEX('Transportation - Oversize'!$L$13:$AM$17, MATCH('Transportation Recovery'!$B$13,'Transportation - Oversize'!$B$13:$B$17,0),MATCH('Transportation Recovery'!O3,'Transportation - Oversize'!$L$10:$AM$10,0))</f>
        <v/>
      </c>
      <c r="P13" s="138" t="str">
        <f>INDEX('Transportation - Oversize'!$L$13:$AM$17, MATCH('Transportation Recovery'!$B$13,'Transportation - Oversize'!$B$13:$B$17,0),MATCH('Transportation Recovery'!P3,'Transportation - Oversize'!$L$10:$AM$10,0))</f>
        <v/>
      </c>
      <c r="Q13" s="138" t="str">
        <f>INDEX('Transportation - Oversize'!$L$13:$AM$17, MATCH('Transportation Recovery'!$B$13,'Transportation - Oversize'!$B$13:$B$17,0),MATCH('Transportation Recovery'!Q3,'Transportation - Oversize'!$L$10:$AM$10,0))</f>
        <v/>
      </c>
      <c r="R13" s="138" t="str">
        <f>INDEX('Transportation - Oversize'!$L$13:$AM$17, MATCH('Transportation Recovery'!$B$13,'Transportation - Oversize'!$B$13:$B$17,0),MATCH('Transportation Recovery'!R3,'Transportation - Oversize'!$L$10:$AM$10,0))</f>
        <v/>
      </c>
      <c r="S13" s="138" t="str">
        <f>INDEX('Transportation - Oversize'!$L$13:$AM$17, MATCH('Transportation Recovery'!$B$13,'Transportation - Oversize'!$B$13:$B$17,0),MATCH('Transportation Recovery'!S3,'Transportation - Oversize'!$L$10:$AM$10,0))</f>
        <v/>
      </c>
      <c r="T13" s="138" t="str">
        <f>INDEX('Transportation - Oversize'!$L$13:$AM$17, MATCH('Transportation Recovery'!$B$13,'Transportation - Oversize'!$B$13:$B$17,0),MATCH('Transportation Recovery'!T3,'Transportation - Oversize'!$L$10:$AM$10,0))</f>
        <v/>
      </c>
      <c r="U13" s="138" t="str">
        <f>INDEX('Transportation - Oversize'!$L$13:$AM$17, MATCH('Transportation Recovery'!$B$13,'Transportation - Oversize'!$B$13:$B$17,0),MATCH('Transportation Recovery'!U3,'Transportation - Oversize'!$L$10:$AM$10,0))</f>
        <v/>
      </c>
      <c r="V13" s="138" t="str">
        <f>INDEX('Transportation - Oversize'!$L$13:$AM$17, MATCH('Transportation Recovery'!$B$13,'Transportation - Oversize'!$B$13:$B$17,0),MATCH('Transportation Recovery'!V3,'Transportation - Oversize'!$L$10:$AM$10,0))</f>
        <v/>
      </c>
      <c r="W13" s="138" t="str">
        <f>INDEX('Transportation - Oversize'!$L$13:$AM$17, MATCH('Transportation Recovery'!$B$13,'Transportation - Oversize'!$B$13:$B$17,0),MATCH('Transportation Recovery'!W3,'Transportation - Oversize'!$L$10:$AM$10,0))</f>
        <v/>
      </c>
      <c r="X13" s="138" t="str">
        <f>INDEX('Transportation - Oversize'!$L$13:$AM$17, MATCH('Transportation Recovery'!$B$13,'Transportation - Oversize'!$B$13:$B$17,0),MATCH('Transportation Recovery'!X3,'Transportation - Oversize'!$L$10:$AM$10,0))</f>
        <v/>
      </c>
      <c r="Y13" s="138">
        <f>INDEX('Transportation - Oversize'!$L$13:$AM$17, MATCH('Transportation Recovery'!$B$13,'Transportation - Oversize'!$B$13:$B$17,0),MATCH('Transportation Recovery'!Y3,'Transportation - Oversize'!$L$10:$AM$10,0))</f>
        <v>5624665.7342216233</v>
      </c>
      <c r="Z13" s="138">
        <f>INDEX('Transportation - Oversize'!$L$13:$AM$17, MATCH('Transportation Recovery'!$B$13,'Transportation - Oversize'!$B$13:$B$17,0),MATCH('Transportation Recovery'!Z3,'Transportation - Oversize'!$L$10:$AM$10,0))</f>
        <v>5765282.3775771623</v>
      </c>
      <c r="AA13" s="138" t="str">
        <f>INDEX('Transportation - Oversize'!$L$13:$AM$17, MATCH('Transportation Recovery'!$B$13,'Transportation - Oversize'!$B$13:$B$17,0),MATCH('Transportation Recovery'!AA3,'Transportation - Oversize'!$L$10:$AM$10,0))</f>
        <v/>
      </c>
      <c r="AB13" s="138" t="str">
        <f>INDEX('Transportation - Oversize'!$L$13:$AM$17, MATCH('Transportation Recovery'!$B$13,'Transportation - Oversize'!$B$13:$B$17,0),MATCH('Transportation Recovery'!AB3,'Transportation - Oversize'!$L$10:$AM$10,0))</f>
        <v/>
      </c>
      <c r="AC13" s="138" t="str">
        <f>INDEX('Transportation - Oversize'!$L$13:$AM$17, MATCH('Transportation Recovery'!$B$13,'Transportation - Oversize'!$B$13:$B$17,0),MATCH('Transportation Recovery'!AC3,'Transportation - Oversize'!$L$10:$AM$10,0))</f>
        <v/>
      </c>
      <c r="AD13" s="138" t="str">
        <f>INDEX('Transportation - Oversize'!$L$13:$AM$17, MATCH('Transportation Recovery'!$B$13,'Transportation - Oversize'!$B$13:$B$17,0),MATCH('Transportation Recovery'!AD3,'Transportation - Oversize'!$L$10:$AM$10,0))</f>
        <v/>
      </c>
      <c r="AE13" s="138" t="str">
        <f>INDEX('Transportation - Oversize'!$L$13:$AM$17, MATCH('Transportation Recovery'!$B$13,'Transportation - Oversize'!$B$13:$B$17,0),MATCH('Transportation Recovery'!AE3,'Transportation - Oversize'!$L$10:$AM$10,0))</f>
        <v/>
      </c>
    </row>
    <row r="14" spans="1:33">
      <c r="A14" s="540"/>
      <c r="B14" s="134"/>
      <c r="C14" s="114"/>
      <c r="D14" s="114"/>
      <c r="E14" s="114"/>
      <c r="F14" s="114"/>
      <c r="G14" s="114"/>
      <c r="H14" s="114"/>
      <c r="I14" s="114"/>
      <c r="J14" s="114"/>
      <c r="K14" s="114"/>
      <c r="L14" s="114"/>
      <c r="M14" s="114"/>
      <c r="N14" s="114"/>
      <c r="O14" s="114"/>
      <c r="P14" s="114"/>
      <c r="Q14" s="114"/>
      <c r="R14" s="114"/>
      <c r="S14" s="114"/>
      <c r="T14" s="114"/>
      <c r="U14" s="114"/>
      <c r="V14" s="114"/>
      <c r="W14" s="114"/>
      <c r="X14" s="114"/>
      <c r="Y14" s="310" cm="1">
        <f t="array" ref="Y14">_xlfn.LET(_xlpm.x, Y5-SUM($D$7:Y7)-SUM($D$9:Y9)-SUM($D$11:Y11)-SUM($D$13:Y13),IF(OR(_xlpm.x&lt;0, INDEX(X:X,ROW()-1)&lt;0), _xlpm.x, 0))</f>
        <v>0</v>
      </c>
      <c r="Z14" s="310" cm="1">
        <f t="array" ref="Z14">_xlfn.LET(_xlpm.x, Z5-SUM($D$7:Z7)-SUM($D$9:Z9)-SUM($D$11:Z11)-SUM($D$13:Z13),IF(OR(_xlpm.x&lt;0, INDEX(Y:Y,ROW()-1)&lt;0), _xlpm.x, 0))</f>
        <v>0</v>
      </c>
      <c r="AA14" s="114" cm="1">
        <f t="array" ref="AA14">_xlfn.LET(_xlpm.x, AA5-SUM($D$7:AA7)-SUM($D$9:AA9)-SUM($D$11:AA11)-SUM($D$13:AA13),IF(OR(_xlpm.x&lt;0, INDEX(Z:Z,ROW()-1)&lt;0), _xlpm.x, 0))</f>
        <v>0</v>
      </c>
      <c r="AB14" s="114" cm="1">
        <f t="array" ref="AB14">_xlfn.LET(_xlpm.x, AB5-SUM($D$7:AB7)-SUM($D$9:AB9)-SUM($D$11:AB11)-SUM($D$13:AB13),IF(OR(_xlpm.x&lt;0, INDEX(AA:AA,ROW()-1)&lt;0), _xlpm.x, 0))</f>
        <v>0</v>
      </c>
      <c r="AC14" s="114" cm="1">
        <f t="array" ref="AC14">_xlfn.LET(_xlpm.x, AC5-SUM($D$7:AC7)-SUM($D$9:AC9)-SUM($D$11:AC11)-SUM($D$13:AC13),IF(OR(_xlpm.x&lt;0, INDEX(AB:AB,ROW()-1)&lt;0), _xlpm.x, 0))</f>
        <v>0</v>
      </c>
      <c r="AD14" s="114"/>
      <c r="AE14" s="114"/>
    </row>
    <row r="15" spans="1:33">
      <c r="A15" s="137" t="s">
        <v>250</v>
      </c>
      <c r="B15" s="137" t="s">
        <v>173</v>
      </c>
      <c r="C15" s="138" t="s">
        <v>101</v>
      </c>
      <c r="D15" s="138" t="str">
        <f>INDEX('Transportation - Oversize'!$L$13:$AM$17, MATCH('Transportation Recovery'!$B$15,'Transportation - Oversize'!$B$13:$B$17,0),MATCH('Transportation Recovery'!D3,'Transportation - Oversize'!$L$10:$AM$10,0))</f>
        <v/>
      </c>
      <c r="E15" s="138" t="str">
        <f>INDEX('Transportation - Oversize'!$L$13:$AM$17, MATCH('Transportation Recovery'!$B$15,'Transportation - Oversize'!$B$13:$B$17,0),MATCH('Transportation Recovery'!E3,'Transportation - Oversize'!$L$10:$AM$10,0))</f>
        <v/>
      </c>
      <c r="F15" s="138" t="str">
        <f>INDEX('Transportation - Oversize'!$L$13:$AM$17, MATCH('Transportation Recovery'!$B$15,'Transportation - Oversize'!$B$13:$B$17,0),MATCH('Transportation Recovery'!F3,'Transportation - Oversize'!$L$10:$AM$10,0))</f>
        <v/>
      </c>
      <c r="G15" s="138" t="str">
        <f>INDEX('Transportation - Oversize'!$L$13:$AM$17, MATCH('Transportation Recovery'!$B$15,'Transportation - Oversize'!$B$13:$B$17,0),MATCH('Transportation Recovery'!G3,'Transportation - Oversize'!$L$10:$AM$10,0))</f>
        <v/>
      </c>
      <c r="H15" s="138" t="str">
        <f>INDEX('Transportation - Oversize'!$L$13:$AM$17, MATCH('Transportation Recovery'!$B$15,'Transportation - Oversize'!$B$13:$B$17,0),MATCH('Transportation Recovery'!H3,'Transportation - Oversize'!$L$10:$AM$10,0))</f>
        <v/>
      </c>
      <c r="I15" s="138" t="str">
        <f>INDEX('Transportation - Oversize'!$L$13:$AM$17, MATCH('Transportation Recovery'!$B$15,'Transportation - Oversize'!$B$13:$B$17,0),MATCH('Transportation Recovery'!I3,'Transportation - Oversize'!$L$10:$AM$10,0))</f>
        <v/>
      </c>
      <c r="J15" s="138" t="str">
        <f>INDEX('Transportation - Oversize'!$L$13:$AM$17, MATCH('Transportation Recovery'!$B$15,'Transportation - Oversize'!$B$13:$B$17,0),MATCH('Transportation Recovery'!J3,'Transportation - Oversize'!$L$10:$AM$10,0))</f>
        <v/>
      </c>
      <c r="K15" s="138" t="str">
        <f>INDEX('Transportation - Oversize'!$L$13:$AM$17, MATCH('Transportation Recovery'!$B$15,'Transportation - Oversize'!$B$13:$B$17,0),MATCH('Transportation Recovery'!K3,'Transportation - Oversize'!$L$10:$AM$10,0))</f>
        <v/>
      </c>
      <c r="L15" s="138" t="str">
        <f>INDEX('Transportation - Oversize'!$L$13:$AM$17, MATCH('Transportation Recovery'!$B$15,'Transportation - Oversize'!$B$13:$B$17,0),MATCH('Transportation Recovery'!L3,'Transportation - Oversize'!$L$10:$AM$10,0))</f>
        <v/>
      </c>
      <c r="M15" s="138" t="str">
        <f>INDEX('Transportation - Oversize'!$L$13:$AM$17, MATCH('Transportation Recovery'!$B$15,'Transportation - Oversize'!$B$13:$B$17,0),MATCH('Transportation Recovery'!M3,'Transportation - Oversize'!$L$10:$AM$10,0))</f>
        <v/>
      </c>
      <c r="N15" s="138" t="str">
        <f>INDEX('Transportation - Oversize'!$L$13:$AM$17, MATCH('Transportation Recovery'!$B$15,'Transportation - Oversize'!$B$13:$B$17,0),MATCH('Transportation Recovery'!N3,'Transportation - Oversize'!$L$10:$AM$10,0))</f>
        <v/>
      </c>
      <c r="O15" s="138" t="str">
        <f>INDEX('Transportation - Oversize'!$L$13:$AM$17, MATCH('Transportation Recovery'!$B$15,'Transportation - Oversize'!$B$13:$B$17,0),MATCH('Transportation Recovery'!O3,'Transportation - Oversize'!$L$10:$AM$10,0))</f>
        <v/>
      </c>
      <c r="P15" s="138" t="str">
        <f>INDEX('Transportation - Oversize'!$L$13:$AM$17, MATCH('Transportation Recovery'!$B$15,'Transportation - Oversize'!$B$13:$B$17,0),MATCH('Transportation Recovery'!P3,'Transportation - Oversize'!$L$10:$AM$10,0))</f>
        <v/>
      </c>
      <c r="Q15" s="138" t="str">
        <f>INDEX('Transportation - Oversize'!$L$13:$AM$17, MATCH('Transportation Recovery'!$B$15,'Transportation - Oversize'!$B$13:$B$17,0),MATCH('Transportation Recovery'!Q3,'Transportation - Oversize'!$L$10:$AM$10,0))</f>
        <v/>
      </c>
      <c r="R15" s="138" t="str">
        <f>INDEX('Transportation - Oversize'!$L$13:$AM$17, MATCH('Transportation Recovery'!$B$15,'Transportation - Oversize'!$B$13:$B$17,0),MATCH('Transportation Recovery'!R3,'Transportation - Oversize'!$L$10:$AM$10,0))</f>
        <v/>
      </c>
      <c r="S15" s="138" t="str">
        <f>INDEX('Transportation - Oversize'!$L$13:$AM$17, MATCH('Transportation Recovery'!$B$15,'Transportation - Oversize'!$B$13:$B$17,0),MATCH('Transportation Recovery'!S3,'Transportation - Oversize'!$L$10:$AM$10,0))</f>
        <v/>
      </c>
      <c r="T15" s="138" t="str">
        <f>INDEX('Transportation - Oversize'!$L$13:$AM$17, MATCH('Transportation Recovery'!$B$15,'Transportation - Oversize'!$B$13:$B$17,0),MATCH('Transportation Recovery'!T3,'Transportation - Oversize'!$L$10:$AM$10,0))</f>
        <v/>
      </c>
      <c r="U15" s="138" t="str">
        <f>INDEX('Transportation - Oversize'!$L$13:$AM$17, MATCH('Transportation Recovery'!$B$15,'Transportation - Oversize'!$B$13:$B$17,0),MATCH('Transportation Recovery'!U3,'Transportation - Oversize'!$L$10:$AM$10,0))</f>
        <v/>
      </c>
      <c r="V15" s="138" t="str">
        <f>INDEX('Transportation - Oversize'!$L$13:$AM$17, MATCH('Transportation Recovery'!$B$15,'Transportation - Oversize'!$B$13:$B$17,0),MATCH('Transportation Recovery'!V3,'Transportation - Oversize'!$L$10:$AM$10,0))</f>
        <v/>
      </c>
      <c r="W15" s="138" t="str">
        <f>INDEX('Transportation - Oversize'!$L$13:$AM$17, MATCH('Transportation Recovery'!$B$15,'Transportation - Oversize'!$B$13:$B$17,0),MATCH('Transportation Recovery'!W3,'Transportation - Oversize'!$L$10:$AM$10,0))</f>
        <v/>
      </c>
      <c r="X15" s="138" t="str">
        <f>INDEX('Transportation - Oversize'!$L$13:$AM$17, MATCH('Transportation Recovery'!$B$15,'Transportation - Oversize'!$B$13:$B$17,0),MATCH('Transportation Recovery'!X3,'Transportation - Oversize'!$L$10:$AM$10,0))</f>
        <v/>
      </c>
      <c r="Y15" s="138" t="str">
        <f>INDEX('Transportation - Oversize'!$L$13:$AM$17, MATCH('Transportation Recovery'!$B$15,'Transportation - Oversize'!$B$13:$B$17,0),MATCH('Transportation Recovery'!Y3,'Transportation - Oversize'!$L$10:$AM$10,0))</f>
        <v/>
      </c>
      <c r="Z15" s="138" t="str">
        <f>INDEX('Transportation - Oversize'!$L$13:$AM$17, MATCH('Transportation Recovery'!$B$15,'Transportation - Oversize'!$B$13:$B$17,0),MATCH('Transportation Recovery'!Z3,'Transportation - Oversize'!$L$10:$AM$10,0))</f>
        <v/>
      </c>
      <c r="AA15" s="138" t="str">
        <f>INDEX('Transportation - Oversize'!$L$13:$AM$17, MATCH('Transportation Recovery'!$B$15,'Transportation - Oversize'!$B$13:$B$17,0),MATCH('Transportation Recovery'!AA3,'Transportation - Oversize'!$L$10:$AM$10,0))</f>
        <v/>
      </c>
      <c r="AB15" s="138">
        <f>INDEX('Transportation - Oversize'!$L$13:$AM$17, MATCH('Transportation Recovery'!$B$15,'Transportation - Oversize'!$B$13:$B$17,0),MATCH('Transportation Recovery'!AB3,'Transportation - Oversize'!$L$10:$AM$10,0))</f>
        <v>4254902.7852558475</v>
      </c>
      <c r="AC15" s="138">
        <f>INDEX('Transportation - Oversize'!$L$13:$AM$17, MATCH('Transportation Recovery'!$B$15,'Transportation - Oversize'!$B$13:$B$17,0),MATCH('Transportation Recovery'!AC3,'Transportation - Oversize'!$L$10:$AM$10,0))</f>
        <v>4361275.3548872434</v>
      </c>
      <c r="AD15" s="138" t="str">
        <f>INDEX('Transportation - Oversize'!$L$13:$AM$17, MATCH('Transportation Recovery'!$B$15,'Transportation - Oversize'!$B$13:$B$17,0),MATCH('Transportation Recovery'!AD3,'Transportation - Oversize'!$L$10:$AM$10,0))</f>
        <v/>
      </c>
      <c r="AE15" s="138" t="str">
        <f>INDEX('Transportation - Oversize'!$L$13:$AM$17, MATCH('Transportation Recovery'!$B$15,'Transportation - Oversize'!$B$13:$B$17,0),MATCH('Transportation Recovery'!AE3,'Transportation - Oversize'!$L$10:$AM$10,0))</f>
        <v/>
      </c>
    </row>
    <row r="16" spans="1:33">
      <c r="A16" s="540"/>
      <c r="B16" s="134"/>
      <c r="C16" s="114"/>
      <c r="D16" s="114"/>
      <c r="E16" s="114"/>
      <c r="F16" s="114"/>
      <c r="G16" s="114"/>
      <c r="H16" s="114"/>
      <c r="I16" s="114"/>
      <c r="J16" s="114"/>
      <c r="K16" s="114"/>
      <c r="L16" s="114"/>
      <c r="M16" s="114"/>
      <c r="N16" s="114"/>
      <c r="O16" s="114"/>
      <c r="P16" s="114"/>
      <c r="Q16" s="114"/>
      <c r="R16" s="114"/>
      <c r="S16" s="114"/>
      <c r="T16" s="114"/>
      <c r="U16" s="114"/>
      <c r="V16" s="114"/>
      <c r="W16" s="114"/>
      <c r="X16" s="114"/>
      <c r="Y16" s="114"/>
      <c r="Z16" s="114"/>
      <c r="AA16" s="114"/>
      <c r="AB16" s="310" cm="1">
        <f t="array" ref="AB16">_xlfn.LET(_xlpm.x, AB5-SUM($D$7:AB7)-SUM($D$9:AB9)-SUM($D$11:AB11)-SUM($D$13:AB13)-SUM($D$15:AB15),IF(OR(_xlpm.x&lt;0, INDEX(AA:AA,ROW()-1)&lt;0), _xlpm.x, 0))</f>
        <v>0</v>
      </c>
      <c r="AC16" s="114" cm="1">
        <f t="array" ref="AC16">_xlfn.LET(_xlpm.x, AC5-SUM($D$7:AC7)-SUM($D$9:AC9)-SUM($D$11:AC11)-SUM($D$13:AC13)-SUM($D$15:AC15),IF(OR(_xlpm.x&lt;0, INDEX(AB:AB,ROW()-1)&lt;0), _xlpm.x, 0))</f>
        <v>-1389606.7142320853</v>
      </c>
      <c r="AD16" s="114" cm="1">
        <f t="array" ref="AD16">_xlfn.LET(_xlpm.x, AD5-SUM($D$7:AD7)-SUM($D$9:AD9)-SUM($D$11:AD11)-SUM($D$13:AD13)-SUM($D$15:AD15),IF(OR(_xlpm.x&lt;0, INDEX(AC:AC,ROW()-1)&lt;0), _xlpm.x, 0))</f>
        <v>-307223.0256929528</v>
      </c>
      <c r="AE16" s="310" cm="1">
        <f t="array" ref="AE16">_xlfn.LET(_xlpm.x, AE5-SUM($D$7:AE7)-SUM($D$9:AE9)-SUM($D$11:AE11)-SUM($D$13:AE13)-SUM($D$15:AE15),IF(OR(_xlpm.x&lt;0, INDEX(AD:AD,ROW()-1)&lt;0), _xlpm.x, 0))</f>
        <v>-1.3038516044616699E-8</v>
      </c>
    </row>
    <row r="17" spans="1:31">
      <c r="A17" s="545" t="s">
        <v>253</v>
      </c>
      <c r="B17" s="134"/>
      <c r="C17" s="115"/>
      <c r="D17" s="115">
        <f>SUM(D7,D9,D11,D13,D15)</f>
        <v>0</v>
      </c>
      <c r="E17" s="115">
        <f t="shared" ref="E17:AD17" si="1">SUM(E7,E9,E11,E13,E15)</f>
        <v>3063985.2130660699</v>
      </c>
      <c r="F17" s="115">
        <f t="shared" si="1"/>
        <v>3140584.8433927214</v>
      </c>
      <c r="G17" s="115">
        <f t="shared" si="1"/>
        <v>0</v>
      </c>
      <c r="H17" s="115">
        <f t="shared" si="1"/>
        <v>0</v>
      </c>
      <c r="I17" s="115">
        <f t="shared" si="1"/>
        <v>0</v>
      </c>
      <c r="J17" s="115">
        <f t="shared" si="1"/>
        <v>0</v>
      </c>
      <c r="K17" s="115">
        <f t="shared" si="1"/>
        <v>0</v>
      </c>
      <c r="L17" s="115">
        <f t="shared" si="1"/>
        <v>0</v>
      </c>
      <c r="M17" s="115">
        <f t="shared" si="1"/>
        <v>6671032.2824446745</v>
      </c>
      <c r="N17" s="115">
        <f t="shared" si="1"/>
        <v>6837808.0895057898</v>
      </c>
      <c r="O17" s="115">
        <f t="shared" si="1"/>
        <v>0</v>
      </c>
      <c r="P17" s="115">
        <f t="shared" si="1"/>
        <v>0</v>
      </c>
      <c r="Q17" s="115">
        <f t="shared" si="1"/>
        <v>0</v>
      </c>
      <c r="R17" s="115">
        <f t="shared" si="1"/>
        <v>0</v>
      </c>
      <c r="S17" s="115">
        <f t="shared" si="1"/>
        <v>0</v>
      </c>
      <c r="T17" s="115">
        <f t="shared" si="1"/>
        <v>1479188.0554203033</v>
      </c>
      <c r="U17" s="115">
        <f t="shared" si="1"/>
        <v>1516167.7568058106</v>
      </c>
      <c r="V17" s="115">
        <f t="shared" si="1"/>
        <v>0</v>
      </c>
      <c r="W17" s="115">
        <f t="shared" si="1"/>
        <v>0</v>
      </c>
      <c r="X17" s="115">
        <f t="shared" si="1"/>
        <v>0</v>
      </c>
      <c r="Y17" s="115">
        <f t="shared" si="1"/>
        <v>5624665.7342216233</v>
      </c>
      <c r="Z17" s="115">
        <f t="shared" si="1"/>
        <v>5765282.3775771623</v>
      </c>
      <c r="AA17" s="115">
        <f t="shared" si="1"/>
        <v>0</v>
      </c>
      <c r="AB17" s="115">
        <f t="shared" si="1"/>
        <v>4254902.7852558475</v>
      </c>
      <c r="AC17" s="115">
        <f t="shared" si="1"/>
        <v>4361275.3548872434</v>
      </c>
      <c r="AD17" s="115">
        <f t="shared" si="1"/>
        <v>0</v>
      </c>
      <c r="AE17" s="115">
        <f t="shared" ref="AE17" si="2">SUM(AE7,AE9,AE11,AE13,AE15)</f>
        <v>0</v>
      </c>
    </row>
    <row r="18" spans="1:31">
      <c r="A18" s="545" t="s">
        <v>254</v>
      </c>
      <c r="B18" s="545"/>
      <c r="C18" s="115">
        <f>B18+C17</f>
        <v>0</v>
      </c>
      <c r="D18" s="115">
        <f>C18+D17</f>
        <v>0</v>
      </c>
      <c r="E18" s="115">
        <f>D18+E17</f>
        <v>3063985.2130660699</v>
      </c>
      <c r="F18" s="115">
        <f t="shared" ref="F18:AE18" si="3">E18+F17</f>
        <v>6204570.0564587917</v>
      </c>
      <c r="G18" s="115">
        <f t="shared" si="3"/>
        <v>6204570.0564587917</v>
      </c>
      <c r="H18" s="115">
        <f t="shared" si="3"/>
        <v>6204570.0564587917</v>
      </c>
      <c r="I18" s="115">
        <f t="shared" si="3"/>
        <v>6204570.0564587917</v>
      </c>
      <c r="J18" s="115">
        <f t="shared" si="3"/>
        <v>6204570.0564587917</v>
      </c>
      <c r="K18" s="115">
        <f t="shared" si="3"/>
        <v>6204570.0564587917</v>
      </c>
      <c r="L18" s="115">
        <f t="shared" si="3"/>
        <v>6204570.0564587917</v>
      </c>
      <c r="M18" s="115">
        <f t="shared" si="3"/>
        <v>12875602.338903466</v>
      </c>
      <c r="N18" s="115">
        <f t="shared" si="3"/>
        <v>19713410.428409256</v>
      </c>
      <c r="O18" s="115">
        <f t="shared" si="3"/>
        <v>19713410.428409256</v>
      </c>
      <c r="P18" s="115">
        <f t="shared" si="3"/>
        <v>19713410.428409256</v>
      </c>
      <c r="Q18" s="115">
        <f t="shared" si="3"/>
        <v>19713410.428409256</v>
      </c>
      <c r="R18" s="115">
        <f t="shared" si="3"/>
        <v>19713410.428409256</v>
      </c>
      <c r="S18" s="115">
        <f t="shared" si="3"/>
        <v>19713410.428409256</v>
      </c>
      <c r="T18" s="115">
        <f t="shared" si="3"/>
        <v>21192598.483829558</v>
      </c>
      <c r="U18" s="115">
        <f t="shared" si="3"/>
        <v>22708766.240635369</v>
      </c>
      <c r="V18" s="115">
        <f t="shared" si="3"/>
        <v>22708766.240635369</v>
      </c>
      <c r="W18" s="115">
        <f t="shared" si="3"/>
        <v>22708766.240635369</v>
      </c>
      <c r="X18" s="115">
        <f t="shared" si="3"/>
        <v>22708766.240635369</v>
      </c>
      <c r="Y18" s="115">
        <f t="shared" si="3"/>
        <v>28333431.974856991</v>
      </c>
      <c r="Z18" s="115">
        <f t="shared" si="3"/>
        <v>34098714.352434151</v>
      </c>
      <c r="AA18" s="115">
        <f t="shared" si="3"/>
        <v>34098714.352434151</v>
      </c>
      <c r="AB18" s="115">
        <f t="shared" si="3"/>
        <v>38353617.13769</v>
      </c>
      <c r="AC18" s="115">
        <f t="shared" si="3"/>
        <v>42714892.49257724</v>
      </c>
      <c r="AD18" s="115">
        <f t="shared" si="3"/>
        <v>42714892.49257724</v>
      </c>
      <c r="AE18" s="115">
        <f t="shared" si="3"/>
        <v>42714892.49257724</v>
      </c>
    </row>
    <row r="19" spans="1:31">
      <c r="F19" s="116"/>
    </row>
    <row r="20" spans="1:31">
      <c r="A20" s="723" t="s">
        <v>255</v>
      </c>
      <c r="B20" s="724"/>
      <c r="C20" s="725"/>
      <c r="D20" s="115">
        <f>D5-D18</f>
        <v>256817.93367387581</v>
      </c>
      <c r="E20" s="115">
        <f t="shared" ref="E20:AD20" si="4">E5-E18</f>
        <v>-2145139.6858737981</v>
      </c>
      <c r="F20" s="115">
        <f t="shared" si="4"/>
        <v>-4124777.1048154207</v>
      </c>
      <c r="G20" s="115">
        <f t="shared" si="4"/>
        <v>-2749603.5752124102</v>
      </c>
      <c r="H20" s="115">
        <f t="shared" si="4"/>
        <v>-1346926.5750173395</v>
      </c>
      <c r="I20" s="115">
        <f t="shared" si="4"/>
        <v>83803.965181631967</v>
      </c>
      <c r="J20" s="115">
        <f t="shared" si="4"/>
        <v>1543149.1161845829</v>
      </c>
      <c r="K20" s="115">
        <f t="shared" si="4"/>
        <v>3031681.1702075936</v>
      </c>
      <c r="L20" s="115">
        <f t="shared" si="4"/>
        <v>4549983.8653110638</v>
      </c>
      <c r="M20" s="115">
        <f t="shared" si="4"/>
        <v>-572379.66812807135</v>
      </c>
      <c r="N20" s="115">
        <f t="shared" si="4"/>
        <v>-5830545.6336482093</v>
      </c>
      <c r="O20" s="115">
        <f t="shared" si="4"/>
        <v>-4219310.667182846</v>
      </c>
      <c r="P20" s="115">
        <f t="shared" si="4"/>
        <v>-2575851.0013881736</v>
      </c>
      <c r="Q20" s="115">
        <f t="shared" si="4"/>
        <v>-899522.14227760956</v>
      </c>
      <c r="R20" s="115">
        <f t="shared" si="4"/>
        <v>810333.29401516542</v>
      </c>
      <c r="S20" s="115">
        <f t="shared" si="4"/>
        <v>2554385.8390337974</v>
      </c>
      <c r="T20" s="115">
        <f t="shared" si="4"/>
        <v>2854131.3795325011</v>
      </c>
      <c r="U20" s="115">
        <f t="shared" si="4"/>
        <v>3152475.8905640729</v>
      </c>
      <c r="V20" s="115">
        <f t="shared" si="4"/>
        <v>5003278.4037582055</v>
      </c>
      <c r="W20" s="115">
        <f t="shared" si="4"/>
        <v>6891096.9672162198</v>
      </c>
      <c r="X20" s="115">
        <f t="shared" si="4"/>
        <v>8816671.9019433968</v>
      </c>
      <c r="Y20" s="115">
        <f t="shared" si="4"/>
        <v>5156092.6011434942</v>
      </c>
      <c r="Z20" s="115">
        <f t="shared" si="4"/>
        <v>1394178.3856564909</v>
      </c>
      <c r="AA20" s="115">
        <f t="shared" si="4"/>
        <v>3437613.9109884501</v>
      </c>
      <c r="AB20" s="115">
        <f t="shared" si="4"/>
        <v>1267015.3615712002</v>
      </c>
      <c r="AC20" s="115">
        <f t="shared" si="4"/>
        <v>-1389606.7142320797</v>
      </c>
      <c r="AD20" s="115">
        <f t="shared" si="4"/>
        <v>-307223.02569294721</v>
      </c>
      <c r="AE20" s="115">
        <f t="shared" ref="AE20" si="5">AE5-AE18</f>
        <v>0</v>
      </c>
    </row>
    <row r="21" spans="1:31">
      <c r="D21" s="304"/>
    </row>
    <row r="22" spans="1:31">
      <c r="A22" s="45"/>
      <c r="B22" t="s">
        <v>256</v>
      </c>
      <c r="D22" s="304"/>
    </row>
    <row r="23" spans="1:31">
      <c r="A23" s="546"/>
      <c r="B23" t="s">
        <v>257</v>
      </c>
      <c r="D23" s="303"/>
    </row>
    <row r="24" spans="1:31">
      <c r="A24" s="547"/>
      <c r="B24" t="s">
        <v>259</v>
      </c>
      <c r="D24" s="303"/>
    </row>
    <row r="25" spans="1:31">
      <c r="D25" s="303"/>
    </row>
    <row r="26" spans="1:31">
      <c r="D26" s="303"/>
    </row>
    <row r="27" spans="1:31">
      <c r="D27" s="32"/>
    </row>
    <row r="28" spans="1:31">
      <c r="D28" s="32"/>
    </row>
    <row r="29" spans="1:31">
      <c r="D29" s="32"/>
    </row>
    <row r="30" spans="1:31">
      <c r="D30" s="32"/>
    </row>
    <row r="31" spans="1:31">
      <c r="D31" s="32"/>
    </row>
    <row r="32" spans="1:31">
      <c r="D32" s="32"/>
    </row>
  </sheetData>
  <mergeCells count="3">
    <mergeCell ref="A4:C4"/>
    <mergeCell ref="A5:C5"/>
    <mergeCell ref="A20:C2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EB813-6322-4976-A9A7-1A0974BEED0A}">
  <sheetPr codeName="Sheet55">
    <tabColor theme="4" tint="-0.249977111117893"/>
    <pageSetUpPr fitToPage="1"/>
  </sheetPr>
  <dimension ref="B2:I15"/>
  <sheetViews>
    <sheetView showGridLines="0" workbookViewId="0">
      <selection activeCell="D19" sqref="D19"/>
    </sheetView>
  </sheetViews>
  <sheetFormatPr defaultColWidth="9.109375" defaultRowHeight="14.25" customHeight="1"/>
  <cols>
    <col min="1" max="1" width="6.109375" style="53" customWidth="1"/>
    <col min="2" max="2" width="40.5546875" style="53" customWidth="1"/>
    <col min="3" max="3" width="19.88671875" style="53" customWidth="1"/>
    <col min="4" max="4" width="25.5546875" style="41" customWidth="1"/>
    <col min="5" max="5" width="16.109375" style="41" customWidth="1"/>
    <col min="6" max="6" width="13.6640625" style="53" customWidth="1"/>
    <col min="7" max="7" width="11" style="58" customWidth="1"/>
    <col min="8" max="8" width="2.44140625" style="58" hidden="1" customWidth="1"/>
    <col min="9" max="9" width="12.44140625" style="58" customWidth="1"/>
    <col min="10" max="10" width="12.21875" style="53" customWidth="1"/>
    <col min="11" max="11" width="13" style="53" customWidth="1"/>
    <col min="12" max="16384" width="9.109375" style="53"/>
  </cols>
  <sheetData>
    <row r="2" spans="2:9" ht="14.25" customHeight="1" thickBot="1">
      <c r="E2" s="53"/>
      <c r="F2" s="58"/>
      <c r="I2" s="53"/>
    </row>
    <row r="3" spans="2:9" ht="14.25" customHeight="1">
      <c r="B3" s="728" t="s">
        <v>280</v>
      </c>
      <c r="C3" s="730" t="s">
        <v>168</v>
      </c>
      <c r="D3" s="726" t="s">
        <v>281</v>
      </c>
    </row>
    <row r="4" spans="2:9" ht="14.25" customHeight="1" thickBot="1">
      <c r="B4" s="729"/>
      <c r="C4" s="731"/>
      <c r="D4" s="727"/>
    </row>
    <row r="5" spans="2:9" ht="14.25" customHeight="1">
      <c r="B5" s="319" t="s">
        <v>40</v>
      </c>
      <c r="C5" s="328"/>
      <c r="D5" s="320"/>
    </row>
    <row r="6" spans="2:9" ht="14.25" customHeight="1">
      <c r="B6" s="321" t="s">
        <v>42</v>
      </c>
      <c r="C6" s="322">
        <v>83940</v>
      </c>
      <c r="D6" s="323">
        <f>SUM(D7:D8)</f>
        <v>74173.450916973263</v>
      </c>
    </row>
    <row r="7" spans="2:9" ht="14.25" customHeight="1">
      <c r="B7" s="324" t="s">
        <v>167</v>
      </c>
      <c r="C7" s="322"/>
      <c r="D7" s="637">
        <f>'Transportation - OSL'!I37</f>
        <v>27839.840887046903</v>
      </c>
    </row>
    <row r="8" spans="2:9" ht="14.25" customHeight="1" thickBot="1">
      <c r="B8" s="325" t="s">
        <v>275</v>
      </c>
      <c r="C8" s="326"/>
      <c r="D8" s="327">
        <f>'Transportation - Oversize'!I36</f>
        <v>46333.610029926363</v>
      </c>
    </row>
    <row r="14" spans="2:9" ht="14.25" customHeight="1">
      <c r="C14" s="226"/>
      <c r="D14" s="225"/>
    </row>
    <row r="15" spans="2:9" ht="14.25" customHeight="1">
      <c r="C15" s="226"/>
    </row>
  </sheetData>
  <mergeCells count="3">
    <mergeCell ref="D3:D4"/>
    <mergeCell ref="B3:B4"/>
    <mergeCell ref="C3:C4"/>
  </mergeCells>
  <pageMargins left="0.70866141732283472" right="0.70866141732283472" top="0.74803149606299213" bottom="0.74803149606299213" header="0.31496062992125984" footer="0.31496062992125984"/>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36616D2-2866-4548-BCBC-14F71532C79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Read Me</vt:lpstr>
      <vt:lpstr>Assumptions</vt:lpstr>
      <vt:lpstr>Oversize Costs</vt:lpstr>
      <vt:lpstr>2026 Collections Summary</vt:lpstr>
      <vt:lpstr>Cost Recovery Timing</vt:lpstr>
      <vt:lpstr>Project List </vt:lpstr>
      <vt:lpstr>T-Transportation</vt:lpstr>
      <vt:lpstr>Transportation - OSL</vt:lpstr>
      <vt:lpstr>Transportation - Oversize</vt:lpstr>
      <vt:lpstr>Transportation Recovery</vt:lpstr>
      <vt:lpstr>Offsite Levy Rate Summary</vt:lpstr>
      <vt:lpstr>'Project List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Clayton Drewlo</dc:creator>
  <cp:lastModifiedBy>Andrea Charlebois</cp:lastModifiedBy>
  <cp:lastPrinted>2026-03-19T21:26:27Z</cp:lastPrinted>
  <dcterms:created xsi:type="dcterms:W3CDTF">2015-01-12T14:41:46Z</dcterms:created>
  <dcterms:modified xsi:type="dcterms:W3CDTF">2026-09-10T22:01:41Z</dcterms:modified>
  <cp:contentStatus/>
</cp:coreProperties>
</file>