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codeName="ThisWorkbook" hidePivotFieldList="1"/>
  <mc:AlternateContent xmlns:mc="http://schemas.openxmlformats.org/markup-compatibility/2006">
    <mc:Choice Requires="x15">
      <x15ac:absPath xmlns:x15ac="http://schemas.microsoft.com/office/spreadsheetml/2010/11/ac" url="C:\Users\acharlebois\Desktop\"/>
    </mc:Choice>
  </mc:AlternateContent>
  <xr:revisionPtr revIDLastSave="0" documentId="8_{30A50986-08B8-46B7-AFEC-7CB208C8C578}" xr6:coauthVersionLast="47" xr6:coauthVersionMax="47" xr10:uidLastSave="{00000000-0000-0000-0000-000000000000}"/>
  <bookViews>
    <workbookView xWindow="-108" yWindow="-108" windowWidth="23256" windowHeight="13896" tabRatio="662" xr2:uid="{9547A852-6A78-4AC5-BB9C-A4EDD5584E5B}"/>
  </bookViews>
  <sheets>
    <sheet name="Read Me" sheetId="247" r:id="rId1"/>
    <sheet name="Assumptions" sheetId="130" r:id="rId2"/>
    <sheet name="Oversize Costs" sheetId="238" r:id="rId3"/>
    <sheet name="2026 Collections Summary" sheetId="244" r:id="rId4"/>
    <sheet name="Project List " sheetId="237" r:id="rId5"/>
    <sheet name="Sanitary Debentures" sheetId="241" r:id="rId6"/>
    <sheet name="Cost Recovery Timing" sheetId="242" r:id="rId7"/>
    <sheet name="S-Treatment" sheetId="208" r:id="rId8"/>
    <sheet name="San Treatment - OSL" sheetId="226" r:id="rId9"/>
    <sheet name="S-Collection" sheetId="207" r:id="rId10"/>
    <sheet name="San Collection - OSL" sheetId="228" r:id="rId11"/>
    <sheet name="San Collection - Oversize" sheetId="214" r:id="rId12"/>
    <sheet name="San Collection Recovery" sheetId="221" r:id="rId13"/>
    <sheet name="Offsite Levy Rate Summary" sheetId="217" r:id="rId14"/>
  </sheets>
  <definedNames>
    <definedName name="a">#REF!</definedName>
    <definedName name="Beg_Bal">#REF!</definedName>
    <definedName name="Buddata">#REF!</definedName>
    <definedName name="Capdata1">#REF!</definedName>
    <definedName name="CFWD">#REF!</definedName>
    <definedName name="CondoALC">#REF!</definedName>
    <definedName name="Contingency">#REF!</definedName>
    <definedName name="Cum_Int">#REF!</definedName>
    <definedName name="Data">#REF!</definedName>
    <definedName name="del">#REF!</definedName>
    <definedName name="End_Bal">#REF!</definedName>
    <definedName name="Engineering">#REF!</definedName>
    <definedName name="Extra_Pay">#REF!</definedName>
    <definedName name="fgdsfdgf" localSheetId="6">#REF!</definedName>
    <definedName name="fgdsfdgf" localSheetId="13">#REF!</definedName>
    <definedName name="fgdsfdgf" localSheetId="10">#REF!</definedName>
    <definedName name="fgdsfdgf" localSheetId="11">#REF!</definedName>
    <definedName name="fgdsfdgf" localSheetId="8">#REF!</definedName>
    <definedName name="fgdsfdgf">#REF!</definedName>
    <definedName name="Full_Print">#REF!</definedName>
    <definedName name="Header_Row">ROW(#REF!)</definedName>
    <definedName name="Int">#REF!</definedName>
    <definedName name="INTBAL">#REF!</definedName>
    <definedName name="Interest_Rate">#REF!</definedName>
    <definedName name="INVENTORY96">#REF!</definedName>
    <definedName name="INVENTORY97">#REF!</definedName>
    <definedName name="INVENTORY98">#REF!</definedName>
    <definedName name="JMH_Markups">#REF!</definedName>
    <definedName name="LAND4SALE96">#REF!</definedName>
    <definedName name="LAND4SALE97">#REF!</definedName>
    <definedName name="LANDREDUCE97">#REF!</definedName>
    <definedName name="Last_Row" localSheetId="6">IF('Cost Recovery Timing'!Values_Entered,[0]!Header_Row+'Cost Recovery Timing'!Number_of_Payments,[0]!Header_Row)</definedName>
    <definedName name="Last_Row" localSheetId="4">IF('Project List '!Values_Entered,[0]!Header_Row+'Project List '!Number_of_Payments,[0]!Header_Row)</definedName>
    <definedName name="Last_Row" localSheetId="10">IF('San Collection - OSL'!Values_Entered,[0]!Header_Row+'San Collection - OSL'!Number_of_Payments,[0]!Header_Row)</definedName>
    <definedName name="Last_Row" localSheetId="11">IF('San Collection - Oversize'!Values_Entered,[0]!Header_Row+'San Collection - Oversize'!Number_of_Payments,[0]!Header_Row)</definedName>
    <definedName name="Last_Row" localSheetId="8">IF('San Treatment - OSL'!Values_Entered,[0]!Header_Row+'San Treatment - OSL'!Number_of_Payments,[0]!Header_Row)</definedName>
    <definedName name="Last_Row" localSheetId="9">IF('S-Collection'!Values_Entered,Header_Row+'S-Collection'!Number_of_Payments,Header_Row)</definedName>
    <definedName name="Last_Row" localSheetId="7">IF('S-Treatment'!Values_Entered,[0]!Header_Row+'S-Treatment'!Number_of_Payments,[0]!Header_Row)</definedName>
    <definedName name="Last_Row">IF(Values_Entered,Header_Row+Number_of_Payments,Header_Row)</definedName>
    <definedName name="Loan_Amount">#REF!</definedName>
    <definedName name="Loan_Start">#REF!</definedName>
    <definedName name="Loan_Years">#REF!</definedName>
    <definedName name="Num_Pmt_Per_Year">#REF!</definedName>
    <definedName name="Number_of_Payments" localSheetId="6">MATCH(0.01,[0]!End_Bal,-1)+1</definedName>
    <definedName name="Number_of_Payments" localSheetId="4">MATCH(0.01,[0]!End_Bal,-1)+1</definedName>
    <definedName name="Number_of_Payments" localSheetId="10">MATCH(0.01,[0]!End_Bal,-1)+1</definedName>
    <definedName name="Number_of_Payments" localSheetId="11">MATCH(0.01,[0]!End_Bal,-1)+1</definedName>
    <definedName name="Number_of_Payments" localSheetId="8">MATCH(0.01,[0]!End_Bal,-1)+1</definedName>
    <definedName name="Number_of_Payments" localSheetId="9">MATCH(0.01,End_Bal,-1)+1</definedName>
    <definedName name="Number_of_Payments" localSheetId="7">MATCH(0.01,[0]!End_Bal,-1)+1</definedName>
    <definedName name="Number_of_Payments">MATCH(0.01,End_Bal,-1)+1</definedName>
    <definedName name="Pay_Date">#REF!</definedName>
    <definedName name="Pay_Num">#REF!</definedName>
    <definedName name="Payment_Date" localSheetId="6">DATE(YEAR([0]!Loan_Start),MONTH([0]!Loan_Start)+Payment_Number,DAY([0]!Loan_Start))</definedName>
    <definedName name="Payment_Date" localSheetId="13">DATE(YEAR([0]!Loan_Start),MONTH([0]!Loan_Start)+Payment_Number,DAY([0]!Loan_Start))</definedName>
    <definedName name="Payment_Date" localSheetId="4">DATE(YEAR([0]!Loan_Start),MONTH([0]!Loan_Start)+Payment_Number,DAY([0]!Loan_Start))</definedName>
    <definedName name="Payment_Date" localSheetId="10">DATE(YEAR([0]!Loan_Start),MONTH([0]!Loan_Start)+Payment_Number,DAY([0]!Loan_Start))</definedName>
    <definedName name="Payment_Date" localSheetId="11">DATE(YEAR([0]!Loan_Start),MONTH([0]!Loan_Start)+Payment_Number,DAY([0]!Loan_Start))</definedName>
    <definedName name="Payment_Date" localSheetId="8">DATE(YEAR([0]!Loan_Start),MONTH([0]!Loan_Start)+Payment_Number,DAY([0]!Loan_Start))</definedName>
    <definedName name="Payment_Date" localSheetId="9">DATE(YEAR(Loan_Start),MONTH(Loan_Start)+Payment_Number,DAY(Loan_Start))</definedName>
    <definedName name="Payment_Date" localSheetId="7">DATE(YEAR([0]!Loan_Start),MONTH([0]!Loan_Start)+Payment_Number,DAY([0]!Loan_Start))</definedName>
    <definedName name="Payment_Date">DATE(YEAR(Loan_Start),MONTH(Loan_Start)+Payment_Number,DAY(Loan_Start))</definedName>
    <definedName name="payments_per_year" localSheetId="6">#REF!</definedName>
    <definedName name="payments_per_year" localSheetId="13">#REF!</definedName>
    <definedName name="payments_per_year" localSheetId="10">#REF!</definedName>
    <definedName name="payments_per_year" localSheetId="11">#REF!</definedName>
    <definedName name="payments_per_year" localSheetId="8">#REF!</definedName>
    <definedName name="payments_per_year">#REF!</definedName>
    <definedName name="Princ">#REF!</definedName>
    <definedName name="PRINCBAL">#REF!</definedName>
    <definedName name="_xlnm.Print_Area" localSheetId="4">'Project List '!$A$1:$AO$46</definedName>
    <definedName name="Print_Area_Reset" localSheetId="6">OFFSET([0]!Full_Print,0,0,'Cost Recovery Timing'!Last_Row)</definedName>
    <definedName name="Print_Area_Reset" localSheetId="4">OFFSET([0]!Full_Print,0,0,'Project List '!Last_Row)</definedName>
    <definedName name="Print_Area_Reset" localSheetId="10">OFFSET([0]!Full_Print,0,0,'San Collection - OSL'!Last_Row)</definedName>
    <definedName name="Print_Area_Reset" localSheetId="11">OFFSET([0]!Full_Print,0,0,'San Collection - Oversize'!Last_Row)</definedName>
    <definedName name="Print_Area_Reset" localSheetId="8">OFFSET([0]!Full_Print,0,0,'San Treatment - OSL'!Last_Row)</definedName>
    <definedName name="Print_Area_Reset" localSheetId="9">OFFSET(Full_Print,0,0,'S-Collection'!Last_Row)</definedName>
    <definedName name="Print_Area_Reset" localSheetId="7">OFFSET([0]!Full_Print,0,0,'S-Treatment'!Last_Row)</definedName>
    <definedName name="Print_Area_Reset">OFFSET(Full_Print,0,0,Last_Row)</definedName>
    <definedName name="Projects">#REF!</definedName>
    <definedName name="Residential?">#REF!</definedName>
    <definedName name="Sched_Pay">#REF!</definedName>
    <definedName name="Scheduled_Extra_Payments">#REF!</definedName>
    <definedName name="Scheduled_Interest_Rate">#REF!</definedName>
    <definedName name="Scheduled_Monthly_Payment">#REF!</definedName>
    <definedName name="solver_adj" localSheetId="10" hidden="1">'San Collection - OSL'!$I$29</definedName>
    <definedName name="solver_adj" localSheetId="11" hidden="1">'San Collection - Oversize'!$I$39</definedName>
    <definedName name="solver_adj" localSheetId="8" hidden="1">'San Treatment - OSL'!$I$29</definedName>
    <definedName name="solver_cvg" localSheetId="10" hidden="1">0.0001</definedName>
    <definedName name="solver_cvg" localSheetId="11" hidden="1">0.0001</definedName>
    <definedName name="solver_cvg" localSheetId="8" hidden="1">0.0001</definedName>
    <definedName name="solver_drv" localSheetId="10" hidden="1">1</definedName>
    <definedName name="solver_drv" localSheetId="11" hidden="1">1</definedName>
    <definedName name="solver_drv" localSheetId="8" hidden="1">1</definedName>
    <definedName name="solver_eng" localSheetId="10" hidden="1">1</definedName>
    <definedName name="solver_eng" localSheetId="11" hidden="1">1</definedName>
    <definedName name="solver_eng" localSheetId="8" hidden="1">1</definedName>
    <definedName name="solver_est" localSheetId="10" hidden="1">1</definedName>
    <definedName name="solver_est" localSheetId="11" hidden="1">1</definedName>
    <definedName name="solver_est" localSheetId="8" hidden="1">1</definedName>
    <definedName name="solver_itr" localSheetId="10" hidden="1">2147483647</definedName>
    <definedName name="solver_itr" localSheetId="11" hidden="1">2147483647</definedName>
    <definedName name="solver_itr" localSheetId="8" hidden="1">2147483647</definedName>
    <definedName name="solver_mip" localSheetId="10" hidden="1">2147483647</definedName>
    <definedName name="solver_mip" localSheetId="11" hidden="1">2147483647</definedName>
    <definedName name="solver_mip" localSheetId="8" hidden="1">2147483647</definedName>
    <definedName name="solver_mni" localSheetId="10" hidden="1">30</definedName>
    <definedName name="solver_mni" localSheetId="11" hidden="1">30</definedName>
    <definedName name="solver_mni" localSheetId="8" hidden="1">30</definedName>
    <definedName name="solver_mrt" localSheetId="10" hidden="1">0.075</definedName>
    <definedName name="solver_mrt" localSheetId="11" hidden="1">0.075</definedName>
    <definedName name="solver_mrt" localSheetId="8" hidden="1">0.075</definedName>
    <definedName name="solver_msl" localSheetId="10" hidden="1">2</definedName>
    <definedName name="solver_msl" localSheetId="11" hidden="1">2</definedName>
    <definedName name="solver_msl" localSheetId="8" hidden="1">2</definedName>
    <definedName name="solver_neg" localSheetId="10" hidden="1">1</definedName>
    <definedName name="solver_neg" localSheetId="11" hidden="1">1</definedName>
    <definedName name="solver_neg" localSheetId="8" hidden="1">1</definedName>
    <definedName name="solver_nod" localSheetId="10" hidden="1">2147483647</definedName>
    <definedName name="solver_nod" localSheetId="11" hidden="1">2147483647</definedName>
    <definedName name="solver_nod" localSheetId="8" hidden="1">2147483647</definedName>
    <definedName name="solver_num" localSheetId="10" hidden="1">0</definedName>
    <definedName name="solver_num" localSheetId="11" hidden="1">0</definedName>
    <definedName name="solver_num" localSheetId="8" hidden="1">0</definedName>
    <definedName name="solver_nwt" localSheetId="10" hidden="1">1</definedName>
    <definedName name="solver_nwt" localSheetId="11" hidden="1">1</definedName>
    <definedName name="solver_nwt" localSheetId="8" hidden="1">1</definedName>
    <definedName name="solver_opt" localSheetId="10" hidden="1">'San Collection - OSL'!$N$56</definedName>
    <definedName name="solver_opt" localSheetId="11" hidden="1">'San Collection - Oversize'!$N$66</definedName>
    <definedName name="solver_opt" localSheetId="8" hidden="1">'San Treatment - OSL'!$N$58</definedName>
    <definedName name="solver_pre" localSheetId="10" hidden="1">0.000001</definedName>
    <definedName name="solver_pre" localSheetId="11" hidden="1">0.000001</definedName>
    <definedName name="solver_pre" localSheetId="8" hidden="1">0.000001</definedName>
    <definedName name="solver_rbv" localSheetId="10" hidden="1">1</definedName>
    <definedName name="solver_rbv" localSheetId="11" hidden="1">1</definedName>
    <definedName name="solver_rbv" localSheetId="8" hidden="1">1</definedName>
    <definedName name="solver_rlx" localSheetId="10" hidden="1">2</definedName>
    <definedName name="solver_rlx" localSheetId="11" hidden="1">2</definedName>
    <definedName name="solver_rlx" localSheetId="8" hidden="1">2</definedName>
    <definedName name="solver_rsd" localSheetId="10" hidden="1">0</definedName>
    <definedName name="solver_rsd" localSheetId="11" hidden="1">0</definedName>
    <definedName name="solver_rsd" localSheetId="8" hidden="1">0</definedName>
    <definedName name="solver_scl" localSheetId="10" hidden="1">1</definedName>
    <definedName name="solver_scl" localSheetId="11" hidden="1">1</definedName>
    <definedName name="solver_scl" localSheetId="8" hidden="1">1</definedName>
    <definedName name="solver_sho" localSheetId="10" hidden="1">2</definedName>
    <definedName name="solver_sho" localSheetId="11" hidden="1">2</definedName>
    <definedName name="solver_sho" localSheetId="8" hidden="1">2</definedName>
    <definedName name="solver_ssz" localSheetId="10" hidden="1">100</definedName>
    <definedName name="solver_ssz" localSheetId="11" hidden="1">100</definedName>
    <definedName name="solver_ssz" localSheetId="8" hidden="1">100</definedName>
    <definedName name="solver_tim" localSheetId="10" hidden="1">2147483647</definedName>
    <definedName name="solver_tim" localSheetId="11" hidden="1">2147483647</definedName>
    <definedName name="solver_tim" localSheetId="8" hidden="1">2147483647</definedName>
    <definedName name="solver_tol" localSheetId="10" hidden="1">0.01</definedName>
    <definedName name="solver_tol" localSheetId="11" hidden="1">0.01</definedName>
    <definedName name="solver_tol" localSheetId="8" hidden="1">0.01</definedName>
    <definedName name="solver_typ" localSheetId="10" hidden="1">3</definedName>
    <definedName name="solver_typ" localSheetId="11" hidden="1">3</definedName>
    <definedName name="solver_typ" localSheetId="8" hidden="1">3</definedName>
    <definedName name="solver_val" localSheetId="10" hidden="1">0</definedName>
    <definedName name="solver_val" localSheetId="11" hidden="1">0</definedName>
    <definedName name="solver_val" localSheetId="8" hidden="1">0</definedName>
    <definedName name="solver_ver" localSheetId="10" hidden="1">3</definedName>
    <definedName name="solver_ver" localSheetId="11" hidden="1">3</definedName>
    <definedName name="solver_ver" localSheetId="8" hidden="1">3</definedName>
    <definedName name="start_date" localSheetId="6">#REF!</definedName>
    <definedName name="start_date" localSheetId="13">#REF!</definedName>
    <definedName name="start_date" localSheetId="10">#REF!</definedName>
    <definedName name="start_date" localSheetId="11">#REF!</definedName>
    <definedName name="start_date" localSheetId="8">#REF!</definedName>
    <definedName name="start_date">#REF!</definedName>
    <definedName name="Summaryada" localSheetId="10">#REF!</definedName>
    <definedName name="Summaryada" localSheetId="11">#REF!</definedName>
    <definedName name="Summaryada" localSheetId="8">#REF!</definedName>
    <definedName name="Summaryada">#REF!</definedName>
    <definedName name="Total_Interest">#REF!</definedName>
    <definedName name="Total_Pay">#REF!</definedName>
    <definedName name="Values_Entered" localSheetId="6">IF([0]!Loan_Amount*[0]!Interest_Rate*[0]!Loan_Years*[0]!Loan_Start&gt;0,1,0)</definedName>
    <definedName name="Values_Entered" localSheetId="4">IF([0]!Loan_Amount*[0]!Interest_Rate*[0]!Loan_Years*[0]!Loan_Start&gt;0,1,0)</definedName>
    <definedName name="Values_Entered" localSheetId="10">IF([0]!Loan_Amount*[0]!Interest_Rate*[0]!Loan_Years*[0]!Loan_Start&gt;0,1,0)</definedName>
    <definedName name="Values_Entered" localSheetId="11">IF([0]!Loan_Amount*[0]!Interest_Rate*[0]!Loan_Years*[0]!Loan_Start&gt;0,1,0)</definedName>
    <definedName name="Values_Entered" localSheetId="8">IF([0]!Loan_Amount*[0]!Interest_Rate*[0]!Loan_Years*[0]!Loan_Start&gt;0,1,0)</definedName>
    <definedName name="Values_Entered" localSheetId="9">IF(Loan_Amount*Interest_Rate*Loan_Years*Loan_Start&gt;0,1,0)</definedName>
    <definedName name="Values_Entered" localSheetId="7">IF([0]!Loan_Amount*[0]!Interest_Rate*[0]!Loan_Years*[0]!Loan_Start&gt;0,1,0)</definedName>
    <definedName name="Values_Entered">IF(Loan_Amount*Interest_Rate*Loan_Years*Loan_Start&gt;0,1,0)</definedName>
    <definedName name="years" localSheetId="6">#REF!</definedName>
    <definedName name="years" localSheetId="13">#REF!</definedName>
    <definedName name="years" localSheetId="10">#REF!</definedName>
    <definedName name="years" localSheetId="11">#REF!</definedName>
    <definedName name="years" localSheetId="8">#REF!</definedName>
    <definedName name="years">#REF!</definedName>
    <definedName name="ZonetoJune302013">#REF!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T34" i="214" l="1"/>
  <c r="BT31" i="214"/>
  <c r="BT28" i="214"/>
  <c r="BT23" i="214"/>
  <c r="BT20" i="214"/>
  <c r="BT18" i="214"/>
  <c r="BT16" i="214"/>
  <c r="BT15" i="214"/>
  <c r="BT13" i="214"/>
  <c r="BT12" i="214"/>
  <c r="AM44" i="237"/>
  <c r="K42" i="207" l="1"/>
  <c r="L42" i="207"/>
  <c r="J42" i="207"/>
  <c r="C33" i="207"/>
  <c r="D33" i="207"/>
  <c r="E33" i="207"/>
  <c r="F33" i="207"/>
  <c r="G33" i="207"/>
  <c r="H33" i="207"/>
  <c r="I33" i="207"/>
  <c r="J33" i="207"/>
  <c r="K33" i="207"/>
  <c r="L33" i="207"/>
  <c r="M33" i="207"/>
  <c r="O33" i="207"/>
  <c r="P33" i="207"/>
  <c r="C34" i="207"/>
  <c r="D34" i="207"/>
  <c r="E34" i="207"/>
  <c r="F34" i="207"/>
  <c r="G34" i="207"/>
  <c r="H34" i="207"/>
  <c r="I34" i="207"/>
  <c r="J34" i="207"/>
  <c r="K34" i="207"/>
  <c r="L34" i="207"/>
  <c r="M34" i="207"/>
  <c r="O34" i="207"/>
  <c r="P34" i="207"/>
  <c r="C35" i="207"/>
  <c r="D35" i="207"/>
  <c r="E35" i="207"/>
  <c r="F35" i="207"/>
  <c r="G35" i="207"/>
  <c r="H35" i="207"/>
  <c r="I35" i="207"/>
  <c r="J35" i="207"/>
  <c r="K35" i="207"/>
  <c r="L35" i="207"/>
  <c r="M35" i="207"/>
  <c r="O35" i="207"/>
  <c r="P35" i="207"/>
  <c r="C36" i="207"/>
  <c r="D36" i="207"/>
  <c r="E36" i="207"/>
  <c r="F36" i="207"/>
  <c r="G36" i="207"/>
  <c r="H36" i="207"/>
  <c r="I36" i="207"/>
  <c r="J36" i="207"/>
  <c r="K36" i="207"/>
  <c r="L36" i="207"/>
  <c r="M36" i="207"/>
  <c r="O36" i="207"/>
  <c r="P36" i="207"/>
  <c r="C37" i="207"/>
  <c r="D37" i="207"/>
  <c r="E37" i="207"/>
  <c r="F37" i="207"/>
  <c r="G37" i="207"/>
  <c r="H37" i="207"/>
  <c r="I37" i="207"/>
  <c r="J37" i="207"/>
  <c r="K37" i="207"/>
  <c r="L37" i="207"/>
  <c r="M37" i="207"/>
  <c r="O37" i="207"/>
  <c r="P37" i="207"/>
  <c r="C38" i="207"/>
  <c r="D38" i="207"/>
  <c r="E38" i="207"/>
  <c r="F38" i="207"/>
  <c r="G38" i="207"/>
  <c r="H38" i="207"/>
  <c r="I38" i="207"/>
  <c r="J38" i="207"/>
  <c r="K38" i="207"/>
  <c r="L38" i="207"/>
  <c r="M38" i="207"/>
  <c r="O38" i="207"/>
  <c r="P38" i="207"/>
  <c r="C39" i="207"/>
  <c r="D39" i="207"/>
  <c r="E39" i="207"/>
  <c r="F39" i="207"/>
  <c r="G39" i="207"/>
  <c r="H39" i="207"/>
  <c r="I39" i="207"/>
  <c r="J39" i="207"/>
  <c r="K39" i="207"/>
  <c r="L39" i="207"/>
  <c r="M39" i="207"/>
  <c r="O39" i="207"/>
  <c r="P39" i="207"/>
  <c r="C40" i="207"/>
  <c r="D40" i="207"/>
  <c r="E40" i="207"/>
  <c r="F40" i="207"/>
  <c r="G40" i="207"/>
  <c r="H40" i="207"/>
  <c r="I40" i="207"/>
  <c r="J40" i="207"/>
  <c r="K40" i="207"/>
  <c r="L40" i="207"/>
  <c r="M40" i="207"/>
  <c r="O40" i="207"/>
  <c r="P40" i="207"/>
  <c r="C41" i="207"/>
  <c r="D41" i="207"/>
  <c r="E41" i="207"/>
  <c r="F41" i="207"/>
  <c r="G41" i="207"/>
  <c r="H41" i="207"/>
  <c r="I41" i="207"/>
  <c r="J41" i="207"/>
  <c r="K41" i="207"/>
  <c r="L41" i="207"/>
  <c r="M41" i="207"/>
  <c r="O41" i="207"/>
  <c r="P41" i="207"/>
  <c r="I41" i="226"/>
  <c r="AM22" i="237"/>
  <c r="AM24" i="237"/>
  <c r="AM25" i="237"/>
  <c r="AM26" i="237"/>
  <c r="AM27" i="237"/>
  <c r="AM28" i="237"/>
  <c r="AM29" i="237"/>
  <c r="AM30" i="237"/>
  <c r="AM31" i="237"/>
  <c r="AM32" i="237"/>
  <c r="AM34" i="237"/>
  <c r="AM35" i="237"/>
  <c r="AM36" i="237"/>
  <c r="AM37" i="237"/>
  <c r="AM38" i="237"/>
  <c r="AM39" i="237"/>
  <c r="AM40" i="237"/>
  <c r="AM41" i="237"/>
  <c r="AM42" i="237"/>
  <c r="AM43" i="237"/>
  <c r="W34" i="237"/>
  <c r="AF34" i="237"/>
  <c r="AJ34" i="237" s="1"/>
  <c r="V35" i="237"/>
  <c r="W35" i="237" s="1"/>
  <c r="X35" i="237" s="1"/>
  <c r="AF35" i="237" s="1"/>
  <c r="V36" i="237"/>
  <c r="W36" i="237" s="1"/>
  <c r="X36" i="237" s="1"/>
  <c r="AF36" i="237" s="1"/>
  <c r="V37" i="237"/>
  <c r="W37" i="237" s="1"/>
  <c r="X37" i="237" s="1"/>
  <c r="AF37" i="237" s="1"/>
  <c r="V38" i="237"/>
  <c r="W38" i="237" s="1"/>
  <c r="X38" i="237" s="1"/>
  <c r="AF38" i="237" s="1"/>
  <c r="V39" i="237"/>
  <c r="W39" i="237" s="1"/>
  <c r="X39" i="237" s="1"/>
  <c r="AF39" i="237" s="1"/>
  <c r="V40" i="237"/>
  <c r="W40" i="237"/>
  <c r="X40" i="237" s="1"/>
  <c r="AF40" i="237" s="1"/>
  <c r="V41" i="237"/>
  <c r="W41" i="237" s="1"/>
  <c r="X41" i="237" s="1"/>
  <c r="AF41" i="237" s="1"/>
  <c r="V42" i="237"/>
  <c r="W42" i="237" s="1"/>
  <c r="X42" i="237" s="1"/>
  <c r="AF42" i="237" s="1"/>
  <c r="V43" i="237"/>
  <c r="W43" i="237" s="1"/>
  <c r="X43" i="237" s="1"/>
  <c r="AF43" i="237" s="1"/>
  <c r="AI38" i="237" l="1"/>
  <c r="AJ38" i="237"/>
  <c r="AI40" i="237"/>
  <c r="AJ40" i="237"/>
  <c r="AJ39" i="237"/>
  <c r="AI39" i="237"/>
  <c r="AJ43" i="237"/>
  <c r="AI43" i="237"/>
  <c r="AI37" i="237"/>
  <c r="AJ37" i="237"/>
  <c r="AJ36" i="237"/>
  <c r="AI36" i="237"/>
  <c r="AI41" i="237"/>
  <c r="AJ41" i="237"/>
  <c r="AJ42" i="237"/>
  <c r="AI42" i="237"/>
  <c r="AJ35" i="237"/>
  <c r="AI35" i="237"/>
  <c r="C52" i="221"/>
  <c r="C51" i="221"/>
  <c r="AE4" i="221"/>
  <c r="D4" i="221"/>
  <c r="E4" i="221"/>
  <c r="F4" i="221"/>
  <c r="G4" i="221"/>
  <c r="H4" i="221"/>
  <c r="I4" i="221"/>
  <c r="J4" i="221"/>
  <c r="K4" i="221"/>
  <c r="L4" i="221"/>
  <c r="M4" i="221"/>
  <c r="N4" i="221"/>
  <c r="O4" i="221"/>
  <c r="P4" i="221"/>
  <c r="Q4" i="221"/>
  <c r="R4" i="221"/>
  <c r="S4" i="221"/>
  <c r="T4" i="221"/>
  <c r="U4" i="221"/>
  <c r="V4" i="221"/>
  <c r="W4" i="221"/>
  <c r="X4" i="221"/>
  <c r="Y4" i="221"/>
  <c r="Z4" i="221"/>
  <c r="AA4" i="221"/>
  <c r="AB4" i="221"/>
  <c r="AC4" i="221"/>
  <c r="AD4" i="221"/>
  <c r="D5" i="221"/>
  <c r="E5" i="221" l="1"/>
  <c r="C34" i="244"/>
  <c r="I87" i="214"/>
  <c r="I88" i="214" s="1"/>
  <c r="F5" i="221" l="1"/>
  <c r="B25" i="214"/>
  <c r="C25" i="214"/>
  <c r="D25" i="214"/>
  <c r="B26" i="214"/>
  <c r="C26" i="214"/>
  <c r="D26" i="214"/>
  <c r="B27" i="214"/>
  <c r="C27" i="214"/>
  <c r="D27" i="214"/>
  <c r="B28" i="214"/>
  <c r="C28" i="214"/>
  <c r="D28" i="214"/>
  <c r="B29" i="214"/>
  <c r="C29" i="214"/>
  <c r="D29" i="214"/>
  <c r="F29" i="214"/>
  <c r="H29" i="214" s="1"/>
  <c r="K29" i="214" s="1"/>
  <c r="B30" i="214"/>
  <c r="C30" i="214"/>
  <c r="D30" i="214"/>
  <c r="B31" i="214"/>
  <c r="C31" i="214"/>
  <c r="D31" i="214"/>
  <c r="B32" i="214"/>
  <c r="C32" i="214"/>
  <c r="D32" i="214"/>
  <c r="B33" i="214"/>
  <c r="C33" i="214"/>
  <c r="D33" i="214"/>
  <c r="F26" i="214"/>
  <c r="H26" i="214" s="1"/>
  <c r="K26" i="214" s="1"/>
  <c r="F27" i="214"/>
  <c r="H27" i="214" s="1"/>
  <c r="K27" i="214" s="1"/>
  <c r="F28" i="214"/>
  <c r="H28" i="214" s="1"/>
  <c r="K28" i="214" s="1"/>
  <c r="F30" i="214"/>
  <c r="H30" i="214" s="1"/>
  <c r="K30" i="214" s="1"/>
  <c r="F31" i="214"/>
  <c r="H31" i="214" s="1"/>
  <c r="K31" i="214" s="1"/>
  <c r="F32" i="214"/>
  <c r="H32" i="214" s="1"/>
  <c r="K32" i="214" s="1"/>
  <c r="F33" i="214"/>
  <c r="F25" i="214"/>
  <c r="H25" i="214" s="1"/>
  <c r="K25" i="214" s="1"/>
  <c r="G5" i="221" l="1"/>
  <c r="Z29" i="214"/>
  <c r="R49" i="221" s="1"/>
  <c r="BM33" i="214"/>
  <c r="BH32" i="214"/>
  <c r="V25" i="214"/>
  <c r="N35" i="221" s="1"/>
  <c r="AE33" i="214"/>
  <c r="W37" i="221" s="1"/>
  <c r="BO33" i="214"/>
  <c r="BN33" i="214"/>
  <c r="AC30" i="214"/>
  <c r="U41" i="221" s="1"/>
  <c r="Q28" i="214"/>
  <c r="I47" i="221" s="1"/>
  <c r="BQ28" i="214"/>
  <c r="AN28" i="214"/>
  <c r="AF32" i="214"/>
  <c r="X15" i="221" s="1"/>
  <c r="BP33" i="214"/>
  <c r="AO28" i="214"/>
  <c r="AM28" i="214"/>
  <c r="AE47" i="221" s="1"/>
  <c r="BL33" i="214"/>
  <c r="AL28" i="214"/>
  <c r="AD47" i="221" s="1"/>
  <c r="BQ33" i="214"/>
  <c r="BI32" i="214"/>
  <c r="BP28" i="214"/>
  <c r="S33" i="214"/>
  <c r="K37" i="221" s="1"/>
  <c r="AK33" i="214"/>
  <c r="AC37" i="221" s="1"/>
  <c r="R30" i="214"/>
  <c r="J41" i="221" s="1"/>
  <c r="AS29" i="214"/>
  <c r="AH33" i="214"/>
  <c r="Z37" i="221" s="1"/>
  <c r="AR29" i="214"/>
  <c r="BC25" i="214"/>
  <c r="S30" i="214"/>
  <c r="K41" i="221" s="1"/>
  <c r="AU29" i="214"/>
  <c r="BD25" i="214"/>
  <c r="BS25" i="214"/>
  <c r="AG33" i="214"/>
  <c r="Y37" i="221" s="1"/>
  <c r="AQ29" i="214"/>
  <c r="BB25" i="214"/>
  <c r="AF33" i="214"/>
  <c r="X37" i="221" s="1"/>
  <c r="M29" i="214"/>
  <c r="E49" i="221" s="1"/>
  <c r="Y25" i="214"/>
  <c r="Q35" i="221" s="1"/>
  <c r="AQ32" i="214"/>
  <c r="BE25" i="214"/>
  <c r="BL32" i="214"/>
  <c r="L29" i="214"/>
  <c r="D49" i="221" s="1"/>
  <c r="X25" i="214"/>
  <c r="P35" i="221" s="1"/>
  <c r="AE32" i="214"/>
  <c r="W15" i="221" s="1"/>
  <c r="AD32" i="214"/>
  <c r="V15" i="221" s="1"/>
  <c r="BA30" i="214"/>
  <c r="AL33" i="214"/>
  <c r="AD37" i="221" s="1"/>
  <c r="AK28" i="214"/>
  <c r="AC47" i="221" s="1"/>
  <c r="AH28" i="214"/>
  <c r="Z47" i="221" s="1"/>
  <c r="AT29" i="214"/>
  <c r="AI33" i="214"/>
  <c r="AA37" i="221" s="1"/>
  <c r="BK32" i="214"/>
  <c r="BS28" i="214"/>
  <c r="W25" i="214"/>
  <c r="O35" i="221" s="1"/>
  <c r="AC32" i="214"/>
  <c r="U15" i="221" s="1"/>
  <c r="AJ33" i="214"/>
  <c r="AB37" i="221" s="1"/>
  <c r="BR33" i="214"/>
  <c r="BJ32" i="214"/>
  <c r="BR28" i="214"/>
  <c r="AA31" i="214"/>
  <c r="S13" i="221" s="1"/>
  <c r="AQ31" i="214"/>
  <c r="BG31" i="214"/>
  <c r="AB31" i="214"/>
  <c r="T13" i="221" s="1"/>
  <c r="AR31" i="214"/>
  <c r="BH31" i="214"/>
  <c r="P31" i="214"/>
  <c r="H13" i="221" s="1"/>
  <c r="L31" i="214"/>
  <c r="D13" i="221" s="1"/>
  <c r="AC31" i="214"/>
  <c r="U13" i="221" s="1"/>
  <c r="AS31" i="214"/>
  <c r="BI31" i="214"/>
  <c r="M31" i="214"/>
  <c r="E13" i="221" s="1"/>
  <c r="AD31" i="214"/>
  <c r="V13" i="221" s="1"/>
  <c r="AT31" i="214"/>
  <c r="BJ31" i="214"/>
  <c r="AF31" i="214"/>
  <c r="X13" i="221" s="1"/>
  <c r="BL31" i="214"/>
  <c r="AE31" i="214"/>
  <c r="W13" i="221" s="1"/>
  <c r="AU31" i="214"/>
  <c r="BK31" i="214"/>
  <c r="AV31" i="214"/>
  <c r="Q31" i="214"/>
  <c r="I13" i="221" s="1"/>
  <c r="AG31" i="214"/>
  <c r="Y13" i="221" s="1"/>
  <c r="AW31" i="214"/>
  <c r="BM31" i="214"/>
  <c r="R31" i="214"/>
  <c r="J13" i="221" s="1"/>
  <c r="AH31" i="214"/>
  <c r="Z13" i="221" s="1"/>
  <c r="AX31" i="214"/>
  <c r="BN31" i="214"/>
  <c r="AI31" i="214"/>
  <c r="AA13" i="221" s="1"/>
  <c r="BO31" i="214"/>
  <c r="T31" i="214"/>
  <c r="L13" i="221" s="1"/>
  <c r="U31" i="214"/>
  <c r="M13" i="221" s="1"/>
  <c r="BD31" i="214"/>
  <c r="Y31" i="214"/>
  <c r="Q13" i="221" s="1"/>
  <c r="BE31" i="214"/>
  <c r="AJ31" i="214"/>
  <c r="AB13" i="221" s="1"/>
  <c r="BP31" i="214"/>
  <c r="BC31" i="214"/>
  <c r="Z31" i="214"/>
  <c r="R13" i="221" s="1"/>
  <c r="AK31" i="214"/>
  <c r="AC13" i="221" s="1"/>
  <c r="BQ31" i="214"/>
  <c r="AN31" i="214"/>
  <c r="BB31" i="214"/>
  <c r="AL31" i="214"/>
  <c r="AD13" i="221" s="1"/>
  <c r="BR31" i="214"/>
  <c r="S31" i="214"/>
  <c r="K13" i="221" s="1"/>
  <c r="AY31" i="214"/>
  <c r="AZ31" i="214"/>
  <c r="BA31" i="214"/>
  <c r="AM31" i="214"/>
  <c r="AE13" i="221" s="1"/>
  <c r="BS31" i="214"/>
  <c r="AP31" i="214"/>
  <c r="BF31" i="214"/>
  <c r="AO31" i="214"/>
  <c r="V31" i="214"/>
  <c r="N13" i="221" s="1"/>
  <c r="W31" i="214"/>
  <c r="O13" i="221" s="1"/>
  <c r="X31" i="214"/>
  <c r="P13" i="221" s="1"/>
  <c r="N26" i="214"/>
  <c r="F43" i="221" s="1"/>
  <c r="AD26" i="214"/>
  <c r="V43" i="221" s="1"/>
  <c r="AT26" i="214"/>
  <c r="BJ26" i="214"/>
  <c r="O26" i="214"/>
  <c r="G43" i="221" s="1"/>
  <c r="AE26" i="214"/>
  <c r="W43" i="221" s="1"/>
  <c r="AU26" i="214"/>
  <c r="BK26" i="214"/>
  <c r="P26" i="214"/>
  <c r="H43" i="221" s="1"/>
  <c r="AF26" i="214"/>
  <c r="X43" i="221" s="1"/>
  <c r="AV26" i="214"/>
  <c r="BL26" i="214"/>
  <c r="Q26" i="214"/>
  <c r="I43" i="221" s="1"/>
  <c r="AG26" i="214"/>
  <c r="Y43" i="221" s="1"/>
  <c r="AW26" i="214"/>
  <c r="BM26" i="214"/>
  <c r="S26" i="214"/>
  <c r="K43" i="221" s="1"/>
  <c r="AY26" i="214"/>
  <c r="BO26" i="214"/>
  <c r="R26" i="214"/>
  <c r="J43" i="221" s="1"/>
  <c r="AH26" i="214"/>
  <c r="Z43" i="221" s="1"/>
  <c r="AX26" i="214"/>
  <c r="BN26" i="214"/>
  <c r="T26" i="214"/>
  <c r="L43" i="221" s="1"/>
  <c r="AZ26" i="214"/>
  <c r="BP26" i="214"/>
  <c r="U26" i="214"/>
  <c r="M43" i="221" s="1"/>
  <c r="AK26" i="214"/>
  <c r="AC43" i="221" s="1"/>
  <c r="BA26" i="214"/>
  <c r="BQ26" i="214"/>
  <c r="AL26" i="214"/>
  <c r="AD43" i="221" s="1"/>
  <c r="BR26" i="214"/>
  <c r="BG26" i="214"/>
  <c r="AB26" i="214"/>
  <c r="T43" i="221" s="1"/>
  <c r="AM26" i="214"/>
  <c r="AE43" i="221" s="1"/>
  <c r="BS26" i="214"/>
  <c r="BF26" i="214"/>
  <c r="BI26" i="214"/>
  <c r="AN26" i="214"/>
  <c r="AQ26" i="214"/>
  <c r="X26" i="214"/>
  <c r="P43" i="221" s="1"/>
  <c r="BD26" i="214"/>
  <c r="AO26" i="214"/>
  <c r="M26" i="214"/>
  <c r="E43" i="221" s="1"/>
  <c r="V26" i="214"/>
  <c r="N43" i="221" s="1"/>
  <c r="BB26" i="214"/>
  <c r="W26" i="214"/>
  <c r="O43" i="221" s="1"/>
  <c r="BC26" i="214"/>
  <c r="Z26" i="214"/>
  <c r="R43" i="221" s="1"/>
  <c r="AA26" i="214"/>
  <c r="S43" i="221" s="1"/>
  <c r="AC26" i="214"/>
  <c r="U43" i="221" s="1"/>
  <c r="AP26" i="214"/>
  <c r="AS26" i="214"/>
  <c r="L26" i="214"/>
  <c r="D43" i="221" s="1"/>
  <c r="AR26" i="214"/>
  <c r="Y26" i="214"/>
  <c r="Q43" i="221" s="1"/>
  <c r="BE26" i="214"/>
  <c r="BH26" i="214"/>
  <c r="R27" i="214"/>
  <c r="J45" i="221" s="1"/>
  <c r="AH27" i="214"/>
  <c r="Z45" i="221" s="1"/>
  <c r="AZ27" i="214"/>
  <c r="BP27" i="214"/>
  <c r="S27" i="214"/>
  <c r="K45" i="221" s="1"/>
  <c r="AK27" i="214"/>
  <c r="AC45" i="221" s="1"/>
  <c r="BA27" i="214"/>
  <c r="BQ27" i="214"/>
  <c r="T27" i="214"/>
  <c r="L45" i="221" s="1"/>
  <c r="AL27" i="214"/>
  <c r="AD45" i="221" s="1"/>
  <c r="BB27" i="214"/>
  <c r="BR27" i="214"/>
  <c r="W27" i="214"/>
  <c r="O45" i="221" s="1"/>
  <c r="U27" i="214"/>
  <c r="M45" i="221" s="1"/>
  <c r="AM27" i="214"/>
  <c r="AE45" i="221" s="1"/>
  <c r="BC27" i="214"/>
  <c r="BS27" i="214"/>
  <c r="AO27" i="214"/>
  <c r="BE27" i="214"/>
  <c r="V27" i="214"/>
  <c r="N45" i="221" s="1"/>
  <c r="AN27" i="214"/>
  <c r="BD27" i="214"/>
  <c r="X27" i="214"/>
  <c r="P45" i="221" s="1"/>
  <c r="AP27" i="214"/>
  <c r="BF27" i="214"/>
  <c r="Y27" i="214"/>
  <c r="Q45" i="221" s="1"/>
  <c r="AQ27" i="214"/>
  <c r="BG27" i="214"/>
  <c r="AR27" i="214"/>
  <c r="BJ27" i="214"/>
  <c r="AD27" i="214"/>
  <c r="V45" i="221" s="1"/>
  <c r="AS27" i="214"/>
  <c r="BL27" i="214"/>
  <c r="AG27" i="214"/>
  <c r="Y45" i="221" s="1"/>
  <c r="BO27" i="214"/>
  <c r="L27" i="214"/>
  <c r="D45" i="221" s="1"/>
  <c r="AT27" i="214"/>
  <c r="O27" i="214"/>
  <c r="G45" i="221" s="1"/>
  <c r="BH27" i="214"/>
  <c r="AB27" i="214"/>
  <c r="T45" i="221" s="1"/>
  <c r="AE27" i="214"/>
  <c r="W45" i="221" s="1"/>
  <c r="M27" i="214"/>
  <c r="E45" i="221" s="1"/>
  <c r="AU27" i="214"/>
  <c r="AW27" i="214"/>
  <c r="Z27" i="214"/>
  <c r="R45" i="221" s="1"/>
  <c r="AA27" i="214"/>
  <c r="S45" i="221" s="1"/>
  <c r="BI27" i="214"/>
  <c r="BK27" i="214"/>
  <c r="N27" i="214"/>
  <c r="F45" i="221" s="1"/>
  <c r="AV27" i="214"/>
  <c r="Q27" i="214"/>
  <c r="I45" i="221" s="1"/>
  <c r="AY27" i="214"/>
  <c r="P27" i="214"/>
  <c r="H45" i="221" s="1"/>
  <c r="AX27" i="214"/>
  <c r="AC27" i="214"/>
  <c r="U45" i="221" s="1"/>
  <c r="BM27" i="214"/>
  <c r="AF27" i="214"/>
  <c r="X45" i="221" s="1"/>
  <c r="BN27" i="214"/>
  <c r="E31" i="214"/>
  <c r="N31" i="214" s="1"/>
  <c r="F13" i="221" s="1"/>
  <c r="AZ30" i="214"/>
  <c r="Q30" i="214"/>
  <c r="I41" i="221" s="1"/>
  <c r="P30" i="214"/>
  <c r="H41" i="221" s="1"/>
  <c r="AB32" i="214"/>
  <c r="T15" i="221" s="1"/>
  <c r="AN29" i="214"/>
  <c r="BB33" i="214"/>
  <c r="Z25" i="214"/>
  <c r="R35" i="221" s="1"/>
  <c r="AP25" i="214"/>
  <c r="BF25" i="214"/>
  <c r="AA25" i="214"/>
  <c r="S35" i="221" s="1"/>
  <c r="AQ25" i="214"/>
  <c r="BG25" i="214"/>
  <c r="AB25" i="214"/>
  <c r="T35" i="221" s="1"/>
  <c r="AR25" i="214"/>
  <c r="BH25" i="214"/>
  <c r="AU25" i="214"/>
  <c r="AC25" i="214"/>
  <c r="U35" i="221" s="1"/>
  <c r="AS25" i="214"/>
  <c r="BI25" i="214"/>
  <c r="M25" i="214"/>
  <c r="E35" i="221" s="1"/>
  <c r="AE25" i="214"/>
  <c r="W35" i="221" s="1"/>
  <c r="BK25" i="214"/>
  <c r="L25" i="214"/>
  <c r="D35" i="221" s="1"/>
  <c r="AD25" i="214"/>
  <c r="V35" i="221" s="1"/>
  <c r="AT25" i="214"/>
  <c r="BJ25" i="214"/>
  <c r="N25" i="214"/>
  <c r="F35" i="221" s="1"/>
  <c r="AF25" i="214"/>
  <c r="X35" i="221" s="1"/>
  <c r="AV25" i="214"/>
  <c r="BL25" i="214"/>
  <c r="O25" i="214"/>
  <c r="G35" i="221" s="1"/>
  <c r="AG25" i="214"/>
  <c r="Y35" i="221" s="1"/>
  <c r="AW25" i="214"/>
  <c r="BM25" i="214"/>
  <c r="BA33" i="214"/>
  <c r="AU32" i="214"/>
  <c r="M32" i="214"/>
  <c r="E15" i="221" s="1"/>
  <c r="BP30" i="214"/>
  <c r="AJ30" i="214"/>
  <c r="AB41" i="221" s="1"/>
  <c r="BJ29" i="214"/>
  <c r="AB29" i="214"/>
  <c r="T49" i="221" s="1"/>
  <c r="BD28" i="214"/>
  <c r="V28" i="214"/>
  <c r="N47" i="221" s="1"/>
  <c r="AN25" i="214"/>
  <c r="AV30" i="214"/>
  <c r="R25" i="214"/>
  <c r="J35" i="221" s="1"/>
  <c r="BO28" i="214"/>
  <c r="BE32" i="214"/>
  <c r="W33" i="214"/>
  <c r="O37" i="221" s="1"/>
  <c r="AM33" i="214"/>
  <c r="AE37" i="221" s="1"/>
  <c r="BC33" i="214"/>
  <c r="BS33" i="214"/>
  <c r="X33" i="214"/>
  <c r="P37" i="221" s="1"/>
  <c r="AN33" i="214"/>
  <c r="BD33" i="214"/>
  <c r="AR33" i="214"/>
  <c r="Y33" i="214"/>
  <c r="Q37" i="221" s="1"/>
  <c r="AO33" i="214"/>
  <c r="BE33" i="214"/>
  <c r="Z33" i="214"/>
  <c r="R37" i="221" s="1"/>
  <c r="AP33" i="214"/>
  <c r="BF33" i="214"/>
  <c r="AB33" i="214"/>
  <c r="T37" i="221" s="1"/>
  <c r="BH33" i="214"/>
  <c r="AA33" i="214"/>
  <c r="S37" i="221" s="1"/>
  <c r="AQ33" i="214"/>
  <c r="BG33" i="214"/>
  <c r="AC33" i="214"/>
  <c r="U37" i="221" s="1"/>
  <c r="AS33" i="214"/>
  <c r="BI33" i="214"/>
  <c r="L33" i="214"/>
  <c r="D37" i="221" s="1"/>
  <c r="AD33" i="214"/>
  <c r="V37" i="221" s="1"/>
  <c r="AT33" i="214"/>
  <c r="BJ33" i="214"/>
  <c r="V33" i="214"/>
  <c r="N37" i="221" s="1"/>
  <c r="P32" i="214"/>
  <c r="H15" i="221" s="1"/>
  <c r="AK30" i="214"/>
  <c r="AC41" i="221" s="1"/>
  <c r="BK29" i="214"/>
  <c r="AC29" i="214"/>
  <c r="U49" i="221" s="1"/>
  <c r="BE28" i="214"/>
  <c r="W28" i="214"/>
  <c r="O47" i="221" s="1"/>
  <c r="AO25" i="214"/>
  <c r="L32" i="214"/>
  <c r="D15" i="221" s="1"/>
  <c r="AY33" i="214"/>
  <c r="Q33" i="214"/>
  <c r="I37" i="221" s="1"/>
  <c r="AS32" i="214"/>
  <c r="BN30" i="214"/>
  <c r="AH30" i="214"/>
  <c r="Z41" i="221" s="1"/>
  <c r="BH29" i="214"/>
  <c r="BB28" i="214"/>
  <c r="T28" i="214"/>
  <c r="L47" i="221" s="1"/>
  <c r="BR25" i="214"/>
  <c r="AL25" i="214"/>
  <c r="AD35" i="221" s="1"/>
  <c r="AY30" i="214"/>
  <c r="AX30" i="214"/>
  <c r="N29" i="214"/>
  <c r="F49" i="221" s="1"/>
  <c r="AD29" i="214"/>
  <c r="V49" i="221" s="1"/>
  <c r="AV29" i="214"/>
  <c r="BL29" i="214"/>
  <c r="BQ29" i="214"/>
  <c r="O29" i="214"/>
  <c r="G49" i="221" s="1"/>
  <c r="AE29" i="214"/>
  <c r="W49" i="221" s="1"/>
  <c r="AW29" i="214"/>
  <c r="BM29" i="214"/>
  <c r="P29" i="214"/>
  <c r="H49" i="221" s="1"/>
  <c r="AF29" i="214"/>
  <c r="X49" i="221" s="1"/>
  <c r="AX29" i="214"/>
  <c r="BN29" i="214"/>
  <c r="AK29" i="214"/>
  <c r="AC49" i="221" s="1"/>
  <c r="Q29" i="214"/>
  <c r="I49" i="221" s="1"/>
  <c r="AG29" i="214"/>
  <c r="Y49" i="221" s="1"/>
  <c r="AY29" i="214"/>
  <c r="BO29" i="214"/>
  <c r="S29" i="214"/>
  <c r="K49" i="221" s="1"/>
  <c r="BA29" i="214"/>
  <c r="R29" i="214"/>
  <c r="J49" i="221" s="1"/>
  <c r="AH29" i="214"/>
  <c r="Z49" i="221" s="1"/>
  <c r="AZ29" i="214"/>
  <c r="BP29" i="214"/>
  <c r="T29" i="214"/>
  <c r="L49" i="221" s="1"/>
  <c r="AL29" i="214"/>
  <c r="AD49" i="221" s="1"/>
  <c r="BB29" i="214"/>
  <c r="BR29" i="214"/>
  <c r="U29" i="214"/>
  <c r="M49" i="221" s="1"/>
  <c r="AM29" i="214"/>
  <c r="AE49" i="221" s="1"/>
  <c r="BC29" i="214"/>
  <c r="BS29" i="214"/>
  <c r="Z32" i="214"/>
  <c r="R15" i="221" s="1"/>
  <c r="AU30" i="214"/>
  <c r="M30" i="214"/>
  <c r="E41" i="221" s="1"/>
  <c r="AO29" i="214"/>
  <c r="AG28" i="214"/>
  <c r="Y47" i="221" s="1"/>
  <c r="AY25" i="214"/>
  <c r="BK33" i="214"/>
  <c r="Y32" i="214"/>
  <c r="Q15" i="221" s="1"/>
  <c r="L30" i="214"/>
  <c r="D41" i="221" s="1"/>
  <c r="BN28" i="214"/>
  <c r="AF28" i="214"/>
  <c r="X47" i="221" s="1"/>
  <c r="AI30" i="214"/>
  <c r="AA41" i="221" s="1"/>
  <c r="AX33" i="214"/>
  <c r="P33" i="214"/>
  <c r="H37" i="221" s="1"/>
  <c r="AR32" i="214"/>
  <c r="BM30" i="214"/>
  <c r="AG30" i="214"/>
  <c r="Y41" i="221" s="1"/>
  <c r="BG29" i="214"/>
  <c r="Y29" i="214"/>
  <c r="Q49" i="221" s="1"/>
  <c r="BA28" i="214"/>
  <c r="S28" i="214"/>
  <c r="K47" i="221" s="1"/>
  <c r="BQ25" i="214"/>
  <c r="AK25" i="214"/>
  <c r="AC35" i="221" s="1"/>
  <c r="AW30" i="214"/>
  <c r="BA25" i="214"/>
  <c r="Q25" i="214"/>
  <c r="I35" i="221" s="1"/>
  <c r="AT30" i="214"/>
  <c r="E28" i="214"/>
  <c r="AJ28" i="214" s="1"/>
  <c r="AB47" i="221" s="1"/>
  <c r="BQ30" i="214"/>
  <c r="R33" i="214"/>
  <c r="J37" i="221" s="1"/>
  <c r="AT32" i="214"/>
  <c r="BI29" i="214"/>
  <c r="AA29" i="214"/>
  <c r="S49" i="221" s="1"/>
  <c r="BC28" i="214"/>
  <c r="AM25" i="214"/>
  <c r="AE35" i="221" s="1"/>
  <c r="AW33" i="214"/>
  <c r="O33" i="214"/>
  <c r="G37" i="221" s="1"/>
  <c r="BL30" i="214"/>
  <c r="AF30" i="214"/>
  <c r="X41" i="221" s="1"/>
  <c r="BF29" i="214"/>
  <c r="X29" i="214"/>
  <c r="P49" i="221" s="1"/>
  <c r="AZ28" i="214"/>
  <c r="R28" i="214"/>
  <c r="J47" i="221" s="1"/>
  <c r="BP25" i="214"/>
  <c r="AJ25" i="214"/>
  <c r="AB35" i="221" s="1"/>
  <c r="S25" i="214"/>
  <c r="K35" i="221" s="1"/>
  <c r="Q32" i="214"/>
  <c r="I15" i="221" s="1"/>
  <c r="AG32" i="214"/>
  <c r="Y15" i="221" s="1"/>
  <c r="AW32" i="214"/>
  <c r="BM32" i="214"/>
  <c r="R32" i="214"/>
  <c r="J15" i="221" s="1"/>
  <c r="AH32" i="214"/>
  <c r="Z15" i="221" s="1"/>
  <c r="AX32" i="214"/>
  <c r="BN32" i="214"/>
  <c r="S32" i="214"/>
  <c r="K15" i="221" s="1"/>
  <c r="AI32" i="214"/>
  <c r="AA15" i="221" s="1"/>
  <c r="AY32" i="214"/>
  <c r="BO32" i="214"/>
  <c r="V32" i="214"/>
  <c r="N15" i="221" s="1"/>
  <c r="BR32" i="214"/>
  <c r="T32" i="214"/>
  <c r="L15" i="221" s="1"/>
  <c r="AJ32" i="214"/>
  <c r="AB15" i="221" s="1"/>
  <c r="AZ32" i="214"/>
  <c r="BP32" i="214"/>
  <c r="AL32" i="214"/>
  <c r="AD15" i="221" s="1"/>
  <c r="BB32" i="214"/>
  <c r="U32" i="214"/>
  <c r="M15" i="221" s="1"/>
  <c r="AK32" i="214"/>
  <c r="AC15" i="221" s="1"/>
  <c r="BA32" i="214"/>
  <c r="BQ32" i="214"/>
  <c r="W32" i="214"/>
  <c r="O15" i="221" s="1"/>
  <c r="AM32" i="214"/>
  <c r="AE15" i="221" s="1"/>
  <c r="BC32" i="214"/>
  <c r="BS32" i="214"/>
  <c r="X32" i="214"/>
  <c r="P15" i="221" s="1"/>
  <c r="AN32" i="214"/>
  <c r="BD32" i="214"/>
  <c r="AZ25" i="214"/>
  <c r="BF32" i="214"/>
  <c r="P25" i="214"/>
  <c r="H35" i="221" s="1"/>
  <c r="AV32" i="214"/>
  <c r="AV33" i="214"/>
  <c r="N33" i="214"/>
  <c r="F37" i="221" s="1"/>
  <c r="AP32" i="214"/>
  <c r="BK30" i="214"/>
  <c r="BE29" i="214"/>
  <c r="W29" i="214"/>
  <c r="O49" i="221" s="1"/>
  <c r="AY28" i="214"/>
  <c r="BO25" i="214"/>
  <c r="AI25" i="214"/>
  <c r="AA35" i="221" s="1"/>
  <c r="T30" i="214"/>
  <c r="L41" i="221" s="1"/>
  <c r="AL30" i="214"/>
  <c r="AD41" i="221" s="1"/>
  <c r="BB30" i="214"/>
  <c r="BR30" i="214"/>
  <c r="U30" i="214"/>
  <c r="M41" i="221" s="1"/>
  <c r="AM30" i="214"/>
  <c r="AE41" i="221" s="1"/>
  <c r="BC30" i="214"/>
  <c r="BS30" i="214"/>
  <c r="V30" i="214"/>
  <c r="N41" i="221" s="1"/>
  <c r="AN30" i="214"/>
  <c r="BD30" i="214"/>
  <c r="Y30" i="214"/>
  <c r="Q41" i="221" s="1"/>
  <c r="BG30" i="214"/>
  <c r="W30" i="214"/>
  <c r="O41" i="221" s="1"/>
  <c r="AO30" i="214"/>
  <c r="BE30" i="214"/>
  <c r="AQ30" i="214"/>
  <c r="X30" i="214"/>
  <c r="P41" i="221" s="1"/>
  <c r="AP30" i="214"/>
  <c r="BF30" i="214"/>
  <c r="Z30" i="214"/>
  <c r="R41" i="221" s="1"/>
  <c r="AR30" i="214"/>
  <c r="BH30" i="214"/>
  <c r="AA30" i="214"/>
  <c r="S41" i="221" s="1"/>
  <c r="AS30" i="214"/>
  <c r="BI30" i="214"/>
  <c r="O30" i="214"/>
  <c r="G41" i="221" s="1"/>
  <c r="BG32" i="214"/>
  <c r="AA32" i="214"/>
  <c r="S15" i="221" s="1"/>
  <c r="N30" i="214"/>
  <c r="F41" i="221" s="1"/>
  <c r="AP29" i="214"/>
  <c r="X28" i="214"/>
  <c r="P47" i="221" s="1"/>
  <c r="AP28" i="214"/>
  <c r="BF28" i="214"/>
  <c r="Y28" i="214"/>
  <c r="Q47" i="221" s="1"/>
  <c r="AQ28" i="214"/>
  <c r="BG28" i="214"/>
  <c r="M28" i="214"/>
  <c r="E47" i="221" s="1"/>
  <c r="Z28" i="214"/>
  <c r="R47" i="221" s="1"/>
  <c r="AR28" i="214"/>
  <c r="BH28" i="214"/>
  <c r="AC28" i="214"/>
  <c r="U47" i="221" s="1"/>
  <c r="BK28" i="214"/>
  <c r="AA28" i="214"/>
  <c r="S47" i="221" s="1"/>
  <c r="AS28" i="214"/>
  <c r="BI28" i="214"/>
  <c r="AU28" i="214"/>
  <c r="L28" i="214"/>
  <c r="D47" i="221" s="1"/>
  <c r="AB28" i="214"/>
  <c r="T47" i="221" s="1"/>
  <c r="AT28" i="214"/>
  <c r="BJ28" i="214"/>
  <c r="N28" i="214"/>
  <c r="F47" i="221" s="1"/>
  <c r="AD28" i="214"/>
  <c r="V47" i="221" s="1"/>
  <c r="AV28" i="214"/>
  <c r="BL28" i="214"/>
  <c r="O28" i="214"/>
  <c r="G47" i="221" s="1"/>
  <c r="AE28" i="214"/>
  <c r="W47" i="221" s="1"/>
  <c r="AW28" i="214"/>
  <c r="BM28" i="214"/>
  <c r="AX25" i="214"/>
  <c r="AZ33" i="214"/>
  <c r="BO30" i="214"/>
  <c r="U28" i="214"/>
  <c r="M47" i="221" s="1"/>
  <c r="AU33" i="214"/>
  <c r="M33" i="214"/>
  <c r="E37" i="221" s="1"/>
  <c r="AO32" i="214"/>
  <c r="BJ30" i="214"/>
  <c r="AB30" i="214"/>
  <c r="T41" i="221" s="1"/>
  <c r="BD29" i="214"/>
  <c r="V29" i="214"/>
  <c r="N49" i="221" s="1"/>
  <c r="AX28" i="214"/>
  <c r="P28" i="214"/>
  <c r="H47" i="221" s="1"/>
  <c r="BN25" i="214"/>
  <c r="AH25" i="214"/>
  <c r="Z35" i="221" s="1"/>
  <c r="E25" i="214"/>
  <c r="T25" i="214" s="1"/>
  <c r="L35" i="221" s="1"/>
  <c r="E26" i="214"/>
  <c r="AJ26" i="214" s="1"/>
  <c r="AB43" i="221" s="1"/>
  <c r="E27" i="214"/>
  <c r="AJ27" i="214" s="1"/>
  <c r="AB45" i="221" s="1"/>
  <c r="E29" i="214"/>
  <c r="AJ29" i="214" s="1"/>
  <c r="AB49" i="221" s="1"/>
  <c r="E30" i="214"/>
  <c r="AE30" i="214" s="1"/>
  <c r="W41" i="221" s="1"/>
  <c r="E32" i="214"/>
  <c r="O32" i="214" s="1"/>
  <c r="G15" i="221" s="1"/>
  <c r="H5" i="221" l="1"/>
  <c r="AI28" i="214"/>
  <c r="AA47" i="221" s="1"/>
  <c r="AF47" i="221" s="1"/>
  <c r="AI26" i="214"/>
  <c r="AA43" i="221" s="1"/>
  <c r="AF43" i="221" s="1"/>
  <c r="AI29" i="214"/>
  <c r="AD30" i="214"/>
  <c r="AI27" i="214"/>
  <c r="N32" i="214"/>
  <c r="O31" i="214"/>
  <c r="U25" i="214"/>
  <c r="B33" i="130"/>
  <c r="B32" i="130"/>
  <c r="BT26" i="214" l="1"/>
  <c r="BT29" i="214"/>
  <c r="AA49" i="221"/>
  <c r="AF49" i="221" s="1"/>
  <c r="BT25" i="214"/>
  <c r="M35" i="221"/>
  <c r="AF35" i="221" s="1"/>
  <c r="BT30" i="214"/>
  <c r="V41" i="221"/>
  <c r="AF41" i="221" s="1"/>
  <c r="G13" i="221"/>
  <c r="AF13" i="221" s="1"/>
  <c r="BT32" i="214"/>
  <c r="F15" i="221"/>
  <c r="AF15" i="221" s="1"/>
  <c r="BT27" i="214"/>
  <c r="AA45" i="221"/>
  <c r="AF45" i="221" s="1"/>
  <c r="I5" i="221"/>
  <c r="U7" i="237"/>
  <c r="U8" i="237"/>
  <c r="U9" i="237"/>
  <c r="AE6" i="237"/>
  <c r="C48" i="214"/>
  <c r="J5" i="221" l="1"/>
  <c r="AF16" i="237"/>
  <c r="K5" i="221" l="1"/>
  <c r="B7" i="130"/>
  <c r="B6" i="130"/>
  <c r="L5" i="221" l="1"/>
  <c r="M5" i="221" l="1"/>
  <c r="J6" i="237"/>
  <c r="Z6" i="237"/>
  <c r="AF6" i="237"/>
  <c r="J7" i="237"/>
  <c r="V7" i="237"/>
  <c r="W7" i="237" s="1"/>
  <c r="X7" i="237" s="1"/>
  <c r="AF7" i="237" s="1"/>
  <c r="J8" i="237"/>
  <c r="V8" i="237"/>
  <c r="W8" i="237" s="1"/>
  <c r="X8" i="237" s="1"/>
  <c r="AF8" i="237" s="1"/>
  <c r="J9" i="237"/>
  <c r="V9" i="237"/>
  <c r="W9" i="237" s="1"/>
  <c r="X9" i="237" s="1"/>
  <c r="AF9" i="237" s="1"/>
  <c r="AI9" i="237" s="1"/>
  <c r="J12" i="237"/>
  <c r="AF12" i="237"/>
  <c r="AI12" i="237" s="1"/>
  <c r="O13" i="237"/>
  <c r="V13" i="237" s="1"/>
  <c r="W13" i="237" s="1"/>
  <c r="X13" i="237" s="1"/>
  <c r="O14" i="237"/>
  <c r="V14" i="237" s="1"/>
  <c r="W14" i="237" s="1"/>
  <c r="X14" i="237" s="1"/>
  <c r="AF14" i="237" s="1"/>
  <c r="V15" i="237"/>
  <c r="W15" i="237" s="1"/>
  <c r="X15" i="237" s="1"/>
  <c r="AF15" i="237" s="1"/>
  <c r="J16" i="237"/>
  <c r="AI16" i="237"/>
  <c r="J17" i="237"/>
  <c r="V17" i="237"/>
  <c r="W17" i="237" s="1"/>
  <c r="X17" i="237" s="1"/>
  <c r="AF17" i="237" s="1"/>
  <c r="J18" i="237"/>
  <c r="V18" i="237"/>
  <c r="W18" i="237" s="1"/>
  <c r="X18" i="237" s="1"/>
  <c r="AF18" i="237" s="1"/>
  <c r="J19" i="237"/>
  <c r="V19" i="237"/>
  <c r="W19" i="237" s="1"/>
  <c r="X19" i="237" s="1"/>
  <c r="AF19" i="237" s="1"/>
  <c r="V22" i="237"/>
  <c r="W22" i="237" s="1"/>
  <c r="X22" i="237" s="1"/>
  <c r="J23" i="237"/>
  <c r="V23" i="237"/>
  <c r="W23" i="237" s="1"/>
  <c r="X23" i="237" s="1"/>
  <c r="AF23" i="237" s="1"/>
  <c r="J24" i="237"/>
  <c r="V24" i="237"/>
  <c r="W24" i="237" s="1"/>
  <c r="X24" i="237" s="1"/>
  <c r="AF24" i="237" s="1"/>
  <c r="J25" i="237"/>
  <c r="V25" i="237"/>
  <c r="W25" i="237" s="1"/>
  <c r="X25" i="237" s="1"/>
  <c r="AF25" i="237" s="1"/>
  <c r="J26" i="237"/>
  <c r="V26" i="237"/>
  <c r="W26" i="237" s="1"/>
  <c r="X26" i="237" s="1"/>
  <c r="AF26" i="237" s="1"/>
  <c r="J27" i="237"/>
  <c r="V27" i="237"/>
  <c r="W27" i="237" s="1"/>
  <c r="X27" i="237" s="1"/>
  <c r="AF27" i="237" s="1"/>
  <c r="J28" i="237"/>
  <c r="V28" i="237"/>
  <c r="W28" i="237" s="1"/>
  <c r="X28" i="237" s="1"/>
  <c r="AF28" i="237" s="1"/>
  <c r="J29" i="237"/>
  <c r="V29" i="237"/>
  <c r="W29" i="237" s="1"/>
  <c r="X29" i="237" s="1"/>
  <c r="AF29" i="237" s="1"/>
  <c r="J30" i="237"/>
  <c r="V30" i="237"/>
  <c r="W30" i="237" s="1"/>
  <c r="X30" i="237" s="1"/>
  <c r="AF30" i="237" s="1"/>
  <c r="AI30" i="237" s="1"/>
  <c r="J31" i="237"/>
  <c r="V31" i="237"/>
  <c r="W31" i="237" s="1"/>
  <c r="X31" i="237" s="1"/>
  <c r="AF31" i="237" s="1"/>
  <c r="AI31" i="237" s="1"/>
  <c r="J32" i="237"/>
  <c r="V32" i="237"/>
  <c r="W32" i="237" s="1"/>
  <c r="X32" i="237" s="1"/>
  <c r="AF32" i="237" s="1"/>
  <c r="AJ32" i="237" s="1"/>
  <c r="J33" i="237"/>
  <c r="V33" i="237"/>
  <c r="W33" i="237" s="1"/>
  <c r="X33" i="237" s="1"/>
  <c r="AF33" i="237" s="1"/>
  <c r="AJ33" i="237" s="1"/>
  <c r="E12" i="241"/>
  <c r="X44" i="237" l="1"/>
  <c r="N5" i="221"/>
  <c r="X20" i="237"/>
  <c r="X10" i="237"/>
  <c r="AJ16" i="237"/>
  <c r="AJ12" i="237"/>
  <c r="AJ31" i="237"/>
  <c r="AJ29" i="237"/>
  <c r="AI29" i="237"/>
  <c r="AI8" i="237"/>
  <c r="AJ8" i="237"/>
  <c r="AF22" i="237"/>
  <c r="AI32" i="237"/>
  <c r="AI25" i="237"/>
  <c r="AJ25" i="237"/>
  <c r="AJ15" i="237"/>
  <c r="AI15" i="237"/>
  <c r="AJ7" i="237"/>
  <c r="AI7" i="237"/>
  <c r="AI14" i="237"/>
  <c r="AJ14" i="237"/>
  <c r="AJ6" i="237"/>
  <c r="AI6" i="237"/>
  <c r="AJ27" i="237"/>
  <c r="AI27" i="237"/>
  <c r="AI26" i="237"/>
  <c r="AJ26" i="237"/>
  <c r="AJ24" i="237"/>
  <c r="AI24" i="237"/>
  <c r="AI28" i="237"/>
  <c r="AJ28" i="237"/>
  <c r="AI23" i="237"/>
  <c r="AJ23" i="237"/>
  <c r="AJ30" i="237"/>
  <c r="AJ19" i="237"/>
  <c r="AI19" i="237"/>
  <c r="AJ18" i="237"/>
  <c r="AI18" i="237"/>
  <c r="AF13" i="237"/>
  <c r="AI33" i="237"/>
  <c r="AM33" i="237" s="1"/>
  <c r="AI17" i="237"/>
  <c r="AJ17" i="237"/>
  <c r="AJ9" i="237"/>
  <c r="P21" i="207" l="1"/>
  <c r="F13" i="214" s="1"/>
  <c r="AM23" i="237"/>
  <c r="O5" i="221"/>
  <c r="AI13" i="237"/>
  <c r="AJ13" i="237"/>
  <c r="AI22" i="237"/>
  <c r="AJ22" i="237"/>
  <c r="P5" i="221" l="1"/>
  <c r="H12" i="241"/>
  <c r="I12" i="241" s="1"/>
  <c r="D15" i="244"/>
  <c r="R3" i="242" s="1"/>
  <c r="N15" i="242" s="1"/>
  <c r="D10" i="244"/>
  <c r="B9" i="244"/>
  <c r="B8" i="244"/>
  <c r="H49" i="214"/>
  <c r="H50" i="214"/>
  <c r="H51" i="214"/>
  <c r="H52" i="214"/>
  <c r="H53" i="214"/>
  <c r="H54" i="214"/>
  <c r="H55" i="214"/>
  <c r="H56" i="214"/>
  <c r="H57" i="214"/>
  <c r="H58" i="214"/>
  <c r="H59" i="214"/>
  <c r="H60" i="214"/>
  <c r="H61" i="214"/>
  <c r="H62" i="214"/>
  <c r="H63" i="214"/>
  <c r="H64" i="214"/>
  <c r="H65" i="214"/>
  <c r="H66" i="214"/>
  <c r="H67" i="214"/>
  <c r="H68" i="214"/>
  <c r="H69" i="214"/>
  <c r="H70" i="214"/>
  <c r="H71" i="214"/>
  <c r="H72" i="214"/>
  <c r="H73" i="214"/>
  <c r="H74" i="214"/>
  <c r="H75" i="214"/>
  <c r="H76" i="214"/>
  <c r="H77" i="214"/>
  <c r="H78" i="214"/>
  <c r="H79" i="214"/>
  <c r="H80" i="214"/>
  <c r="H81" i="214"/>
  <c r="H82" i="214"/>
  <c r="H48" i="214"/>
  <c r="H39" i="228"/>
  <c r="H40" i="228"/>
  <c r="H41" i="228"/>
  <c r="H42" i="228"/>
  <c r="H43" i="228"/>
  <c r="H44" i="228"/>
  <c r="H45" i="228"/>
  <c r="H46" i="228"/>
  <c r="H47" i="228"/>
  <c r="H48" i="228"/>
  <c r="H49" i="228"/>
  <c r="H50" i="228"/>
  <c r="H51" i="228"/>
  <c r="H52" i="228"/>
  <c r="H53" i="228"/>
  <c r="H54" i="228"/>
  <c r="H55" i="228"/>
  <c r="H56" i="228"/>
  <c r="H57" i="228"/>
  <c r="H58" i="228"/>
  <c r="H59" i="228"/>
  <c r="H60" i="228"/>
  <c r="H61" i="228"/>
  <c r="H62" i="228"/>
  <c r="H63" i="228"/>
  <c r="H64" i="228"/>
  <c r="H65" i="228"/>
  <c r="H66" i="228"/>
  <c r="H67" i="228"/>
  <c r="H68" i="228"/>
  <c r="H69" i="228"/>
  <c r="H70" i="228"/>
  <c r="H71" i="228"/>
  <c r="H72" i="228"/>
  <c r="H38" i="228"/>
  <c r="H41" i="226"/>
  <c r="H42" i="226"/>
  <c r="H43" i="226"/>
  <c r="H44" i="226"/>
  <c r="H45" i="226"/>
  <c r="H46" i="226"/>
  <c r="H47" i="226"/>
  <c r="H48" i="226"/>
  <c r="H49" i="226"/>
  <c r="H50" i="226"/>
  <c r="H51" i="226"/>
  <c r="H52" i="226"/>
  <c r="H53" i="226"/>
  <c r="H54" i="226"/>
  <c r="H55" i="226"/>
  <c r="H56" i="226"/>
  <c r="H57" i="226"/>
  <c r="H58" i="226"/>
  <c r="H59" i="226"/>
  <c r="H60" i="226"/>
  <c r="H61" i="226"/>
  <c r="H62" i="226"/>
  <c r="H63" i="226"/>
  <c r="H64" i="226"/>
  <c r="H65" i="226"/>
  <c r="H66" i="226"/>
  <c r="H67" i="226"/>
  <c r="H68" i="226"/>
  <c r="H69" i="226"/>
  <c r="H70" i="226"/>
  <c r="H71" i="226"/>
  <c r="H72" i="226"/>
  <c r="H73" i="226"/>
  <c r="H74" i="226"/>
  <c r="H40" i="226"/>
  <c r="Q5" i="221" l="1"/>
  <c r="M7" i="228"/>
  <c r="N7" i="228"/>
  <c r="O7" i="228"/>
  <c r="P7" i="228"/>
  <c r="Q7" i="228"/>
  <c r="R7" i="228"/>
  <c r="S7" i="228"/>
  <c r="T7" i="228"/>
  <c r="U7" i="228"/>
  <c r="V7" i="228"/>
  <c r="W7" i="228"/>
  <c r="X7" i="228"/>
  <c r="Y7" i="228"/>
  <c r="Z7" i="228"/>
  <c r="AA7" i="228"/>
  <c r="AB7" i="228"/>
  <c r="AC7" i="228"/>
  <c r="AD7" i="228"/>
  <c r="AE7" i="228"/>
  <c r="AF7" i="228"/>
  <c r="AG7" i="228"/>
  <c r="AH7" i="228"/>
  <c r="AI7" i="228"/>
  <c r="AJ7" i="228"/>
  <c r="AK7" i="228"/>
  <c r="AL7" i="228"/>
  <c r="AM7" i="228"/>
  <c r="AN7" i="228"/>
  <c r="AO7" i="228"/>
  <c r="AP7" i="228"/>
  <c r="AQ7" i="228"/>
  <c r="AR7" i="228"/>
  <c r="AS7" i="228"/>
  <c r="AT7" i="228"/>
  <c r="AU7" i="228"/>
  <c r="AV7" i="228"/>
  <c r="AW7" i="228"/>
  <c r="AX7" i="228"/>
  <c r="AY7" i="228"/>
  <c r="AZ7" i="228"/>
  <c r="BA7" i="228"/>
  <c r="BB7" i="228"/>
  <c r="BC7" i="228"/>
  <c r="BD7" i="228"/>
  <c r="BE7" i="228"/>
  <c r="BF7" i="228"/>
  <c r="BG7" i="228"/>
  <c r="BH7" i="228"/>
  <c r="BI7" i="228"/>
  <c r="BJ7" i="228"/>
  <c r="BK7" i="228"/>
  <c r="BL7" i="228"/>
  <c r="BM7" i="228"/>
  <c r="BN7" i="228"/>
  <c r="BO7" i="228"/>
  <c r="BP7" i="228"/>
  <c r="BQ7" i="228"/>
  <c r="BR7" i="228"/>
  <c r="BS7" i="228"/>
  <c r="L7" i="228"/>
  <c r="M7" i="214"/>
  <c r="N7" i="214"/>
  <c r="O7" i="214"/>
  <c r="P7" i="214"/>
  <c r="Q7" i="214"/>
  <c r="R7" i="214"/>
  <c r="S7" i="214"/>
  <c r="T7" i="214"/>
  <c r="U7" i="214"/>
  <c r="V7" i="214"/>
  <c r="W7" i="214"/>
  <c r="X7" i="214"/>
  <c r="Y7" i="214"/>
  <c r="Z7" i="214"/>
  <c r="AA7" i="214"/>
  <c r="AB7" i="214"/>
  <c r="AC7" i="214"/>
  <c r="AD7" i="214"/>
  <c r="AE7" i="214"/>
  <c r="AF7" i="214"/>
  <c r="AG7" i="214"/>
  <c r="AH7" i="214"/>
  <c r="AI7" i="214"/>
  <c r="AJ7" i="214"/>
  <c r="AK7" i="214"/>
  <c r="AL7" i="214"/>
  <c r="AM7" i="214"/>
  <c r="AN7" i="214"/>
  <c r="AO7" i="214"/>
  <c r="AP7" i="214"/>
  <c r="AQ7" i="214"/>
  <c r="AR7" i="214"/>
  <c r="AS7" i="214"/>
  <c r="AT7" i="214"/>
  <c r="AU7" i="214"/>
  <c r="AV7" i="214"/>
  <c r="AW7" i="214"/>
  <c r="AX7" i="214"/>
  <c r="AY7" i="214"/>
  <c r="AZ7" i="214"/>
  <c r="BA7" i="214"/>
  <c r="BB7" i="214"/>
  <c r="BC7" i="214"/>
  <c r="BD7" i="214"/>
  <c r="BE7" i="214"/>
  <c r="BF7" i="214"/>
  <c r="BG7" i="214"/>
  <c r="BH7" i="214"/>
  <c r="BI7" i="214"/>
  <c r="BJ7" i="214"/>
  <c r="BK7" i="214"/>
  <c r="BL7" i="214"/>
  <c r="BM7" i="214"/>
  <c r="BN7" i="214"/>
  <c r="BO7" i="214"/>
  <c r="BP7" i="214"/>
  <c r="BQ7" i="214"/>
  <c r="BR7" i="214"/>
  <c r="BS7" i="214"/>
  <c r="L7" i="214"/>
  <c r="M7" i="226"/>
  <c r="N7" i="226"/>
  <c r="O7" i="226"/>
  <c r="P7" i="226"/>
  <c r="Q7" i="226"/>
  <c r="R7" i="226"/>
  <c r="S7" i="226"/>
  <c r="T7" i="226"/>
  <c r="U7" i="226"/>
  <c r="V7" i="226"/>
  <c r="W7" i="226"/>
  <c r="X7" i="226"/>
  <c r="Y7" i="226"/>
  <c r="Z7" i="226"/>
  <c r="AA7" i="226"/>
  <c r="AB7" i="226"/>
  <c r="AC7" i="226"/>
  <c r="AD7" i="226"/>
  <c r="AE7" i="226"/>
  <c r="AF7" i="226"/>
  <c r="AG7" i="226"/>
  <c r="AH7" i="226"/>
  <c r="AI7" i="226"/>
  <c r="AJ7" i="226"/>
  <c r="AK7" i="226"/>
  <c r="AL7" i="226"/>
  <c r="AM7" i="226"/>
  <c r="AN7" i="226"/>
  <c r="AO7" i="226"/>
  <c r="AP7" i="226"/>
  <c r="AQ7" i="226"/>
  <c r="AR7" i="226"/>
  <c r="AS7" i="226"/>
  <c r="AT7" i="226"/>
  <c r="AU7" i="226"/>
  <c r="AV7" i="226"/>
  <c r="AW7" i="226"/>
  <c r="AX7" i="226"/>
  <c r="AY7" i="226"/>
  <c r="AZ7" i="226"/>
  <c r="BA7" i="226"/>
  <c r="BB7" i="226"/>
  <c r="BC7" i="226"/>
  <c r="BD7" i="226"/>
  <c r="BE7" i="226"/>
  <c r="BF7" i="226"/>
  <c r="BG7" i="226"/>
  <c r="BH7" i="226"/>
  <c r="BI7" i="226"/>
  <c r="BJ7" i="226"/>
  <c r="BK7" i="226"/>
  <c r="BL7" i="226"/>
  <c r="BM7" i="226"/>
  <c r="BN7" i="226"/>
  <c r="BO7" i="226"/>
  <c r="BP7" i="226"/>
  <c r="BQ7" i="226"/>
  <c r="BR7" i="226"/>
  <c r="BS7" i="226"/>
  <c r="L7" i="226"/>
  <c r="R5" i="221" l="1"/>
  <c r="B7" i="244"/>
  <c r="B10" i="244" s="1"/>
  <c r="S5" i="221" l="1"/>
  <c r="B20" i="244"/>
  <c r="B33" i="244"/>
  <c r="C9" i="244"/>
  <c r="C8" i="244"/>
  <c r="C7" i="244"/>
  <c r="T5" i="221" l="1"/>
  <c r="C10" i="244"/>
  <c r="U5" i="221" l="1"/>
  <c r="C33" i="244"/>
  <c r="C20" i="244"/>
  <c r="B34" i="244"/>
  <c r="V5" i="221" l="1"/>
  <c r="S8" i="242"/>
  <c r="O15" i="242"/>
  <c r="W5" i="221" l="1"/>
  <c r="S15" i="242"/>
  <c r="R15" i="242"/>
  <c r="X5" i="221" l="1"/>
  <c r="F13" i="241"/>
  <c r="F14" i="241"/>
  <c r="F15" i="241"/>
  <c r="F16" i="241"/>
  <c r="F17" i="241"/>
  <c r="F18" i="241"/>
  <c r="F19" i="241"/>
  <c r="F20" i="241"/>
  <c r="F21" i="241"/>
  <c r="F22" i="241"/>
  <c r="F23" i="241"/>
  <c r="F24" i="241"/>
  <c r="F25" i="241"/>
  <c r="F26" i="241"/>
  <c r="F27" i="241"/>
  <c r="F28" i="241"/>
  <c r="F29" i="241"/>
  <c r="F30" i="241"/>
  <c r="F31" i="241"/>
  <c r="F32" i="241"/>
  <c r="F33" i="241"/>
  <c r="F34" i="241"/>
  <c r="F35" i="241"/>
  <c r="F36" i="241"/>
  <c r="F37" i="241"/>
  <c r="F38" i="241"/>
  <c r="F12" i="241"/>
  <c r="G12" i="241" s="1"/>
  <c r="G13" i="241" s="1"/>
  <c r="G14" i="241" s="1"/>
  <c r="Y5" i="221" l="1"/>
  <c r="G15" i="241"/>
  <c r="G16" i="241" s="1"/>
  <c r="G17" i="241" s="1"/>
  <c r="G18" i="241" s="1"/>
  <c r="G19" i="241" s="1"/>
  <c r="G20" i="241" s="1"/>
  <c r="G21" i="241" s="1"/>
  <c r="G22" i="241" s="1"/>
  <c r="G23" i="241" s="1"/>
  <c r="G24" i="241" s="1"/>
  <c r="G25" i="241" s="1"/>
  <c r="G26" i="241" s="1"/>
  <c r="G27" i="241" s="1"/>
  <c r="G28" i="241" s="1"/>
  <c r="G29" i="241" s="1"/>
  <c r="G30" i="241" s="1"/>
  <c r="G31" i="241" s="1"/>
  <c r="G32" i="241" s="1"/>
  <c r="G33" i="241" s="1"/>
  <c r="G34" i="241" s="1"/>
  <c r="G35" i="241" s="1"/>
  <c r="G36" i="241" s="1"/>
  <c r="G37" i="241" s="1"/>
  <c r="G38" i="241" s="1"/>
  <c r="D29" i="244"/>
  <c r="Z5" i="221" l="1"/>
  <c r="C29" i="244"/>
  <c r="C19" i="244" s="1"/>
  <c r="B29" i="244"/>
  <c r="AA5" i="221" l="1"/>
  <c r="C21" i="244"/>
  <c r="B19" i="244"/>
  <c r="B21" i="244" s="1"/>
  <c r="AB5" i="221" l="1"/>
  <c r="C40" i="226"/>
  <c r="H13" i="241"/>
  <c r="I13" i="241" s="1"/>
  <c r="H14" i="241"/>
  <c r="I14" i="241" s="1"/>
  <c r="H15" i="241"/>
  <c r="I15" i="241" s="1"/>
  <c r="H16" i="241"/>
  <c r="I16" i="241" s="1"/>
  <c r="H17" i="241"/>
  <c r="I17" i="241" s="1"/>
  <c r="H18" i="241"/>
  <c r="I18" i="241" s="1"/>
  <c r="H19" i="241"/>
  <c r="I19" i="241" s="1"/>
  <c r="H20" i="241"/>
  <c r="I20" i="241" s="1"/>
  <c r="H21" i="241"/>
  <c r="I21" i="241" s="1"/>
  <c r="H22" i="241"/>
  <c r="I22" i="241" s="1"/>
  <c r="H23" i="241"/>
  <c r="I23" i="241" s="1"/>
  <c r="H24" i="241"/>
  <c r="I24" i="241" s="1"/>
  <c r="H25" i="241"/>
  <c r="I25" i="241" s="1"/>
  <c r="H26" i="241"/>
  <c r="I26" i="241" s="1"/>
  <c r="H27" i="241"/>
  <c r="I27" i="241" s="1"/>
  <c r="H28" i="241"/>
  <c r="I28" i="241" s="1"/>
  <c r="H29" i="241"/>
  <c r="I29" i="241" s="1"/>
  <c r="H30" i="241"/>
  <c r="I30" i="241" s="1"/>
  <c r="H31" i="241"/>
  <c r="I31" i="241" s="1"/>
  <c r="H32" i="241"/>
  <c r="I32" i="241" s="1"/>
  <c r="H33" i="241"/>
  <c r="I33" i="241" s="1"/>
  <c r="H34" i="241"/>
  <c r="I34" i="241" s="1"/>
  <c r="H35" i="241"/>
  <c r="I35" i="241" s="1"/>
  <c r="H36" i="241"/>
  <c r="I36" i="241" s="1"/>
  <c r="H37" i="241"/>
  <c r="I37" i="241" s="1"/>
  <c r="H38" i="241"/>
  <c r="I38" i="241" s="1"/>
  <c r="AC5" i="221" l="1"/>
  <c r="H39" i="241"/>
  <c r="AD5" i="221" l="1"/>
  <c r="AE5" i="221" s="1"/>
  <c r="B31" i="130"/>
  <c r="C38" i="228"/>
  <c r="D6" i="208" l="1"/>
  <c r="J37" i="228" l="1"/>
  <c r="M42" i="214" l="1"/>
  <c r="E13" i="241" l="1"/>
  <c r="E14" i="241"/>
  <c r="E15" i="241"/>
  <c r="E16" i="241"/>
  <c r="E17" i="241"/>
  <c r="E18" i="241"/>
  <c r="E19" i="241"/>
  <c r="E20" i="241"/>
  <c r="E21" i="241"/>
  <c r="E22" i="241"/>
  <c r="E23" i="241"/>
  <c r="E24" i="241"/>
  <c r="E25" i="241"/>
  <c r="E26" i="241"/>
  <c r="E27" i="241"/>
  <c r="E28" i="241"/>
  <c r="E29" i="241"/>
  <c r="E30" i="241"/>
  <c r="E31" i="241"/>
  <c r="E32" i="241"/>
  <c r="E33" i="241"/>
  <c r="E34" i="241"/>
  <c r="E35" i="241"/>
  <c r="E36" i="241"/>
  <c r="E37" i="241"/>
  <c r="E38" i="241"/>
  <c r="I14" i="242"/>
  <c r="I39" i="241" l="1"/>
  <c r="E39" i="241"/>
  <c r="C6" i="207" l="1"/>
  <c r="K124" i="242" l="1"/>
  <c r="N124" i="242" s="1"/>
  <c r="K123" i="242"/>
  <c r="N123" i="242" s="1"/>
  <c r="K122" i="242"/>
  <c r="N122" i="242" s="1"/>
  <c r="K121" i="242"/>
  <c r="N121" i="242" s="1"/>
  <c r="K120" i="242"/>
  <c r="N120" i="242" s="1"/>
  <c r="K119" i="242"/>
  <c r="N119" i="242" s="1"/>
  <c r="K118" i="242"/>
  <c r="N118" i="242" s="1"/>
  <c r="K117" i="242"/>
  <c r="N117" i="242" s="1"/>
  <c r="K116" i="242"/>
  <c r="N116" i="242" s="1"/>
  <c r="K115" i="242"/>
  <c r="N115" i="242" s="1"/>
  <c r="K114" i="242"/>
  <c r="N114" i="242" s="1"/>
  <c r="K113" i="242"/>
  <c r="N113" i="242" s="1"/>
  <c r="K112" i="242"/>
  <c r="N112" i="242" s="1"/>
  <c r="K111" i="242"/>
  <c r="N111" i="242" s="1"/>
  <c r="K110" i="242"/>
  <c r="N110" i="242" s="1"/>
  <c r="K109" i="242"/>
  <c r="N109" i="242" s="1"/>
  <c r="K108" i="242"/>
  <c r="N108" i="242" s="1"/>
  <c r="K107" i="242"/>
  <c r="N107" i="242" s="1"/>
  <c r="K106" i="242"/>
  <c r="N106" i="242" s="1"/>
  <c r="K105" i="242"/>
  <c r="N105" i="242" s="1"/>
  <c r="K104" i="242"/>
  <c r="N104" i="242" s="1"/>
  <c r="K103" i="242"/>
  <c r="N103" i="242" s="1"/>
  <c r="K102" i="242"/>
  <c r="N102" i="242" s="1"/>
  <c r="K101" i="242"/>
  <c r="N101" i="242" s="1"/>
  <c r="K100" i="242"/>
  <c r="N100" i="242" s="1"/>
  <c r="K99" i="242"/>
  <c r="N99" i="242" s="1"/>
  <c r="K98" i="242"/>
  <c r="N98" i="242" s="1"/>
  <c r="K97" i="242"/>
  <c r="N97" i="242" s="1"/>
  <c r="K96" i="242"/>
  <c r="N96" i="242" s="1"/>
  <c r="K95" i="242"/>
  <c r="N95" i="242" s="1"/>
  <c r="K94" i="242"/>
  <c r="N94" i="242" s="1"/>
  <c r="K93" i="242"/>
  <c r="N93" i="242" s="1"/>
  <c r="K92" i="242"/>
  <c r="N92" i="242" s="1"/>
  <c r="K91" i="242"/>
  <c r="N91" i="242" s="1"/>
  <c r="K90" i="242"/>
  <c r="N90" i="242" s="1"/>
  <c r="K89" i="242"/>
  <c r="N89" i="242" s="1"/>
  <c r="K88" i="242"/>
  <c r="N88" i="242" s="1"/>
  <c r="K87" i="242"/>
  <c r="N87" i="242" s="1"/>
  <c r="K86" i="242"/>
  <c r="N86" i="242" s="1"/>
  <c r="K85" i="242"/>
  <c r="N85" i="242" s="1"/>
  <c r="K84" i="242"/>
  <c r="N84" i="242" s="1"/>
  <c r="K83" i="242"/>
  <c r="N83" i="242" s="1"/>
  <c r="K82" i="242"/>
  <c r="N82" i="242" s="1"/>
  <c r="K81" i="242"/>
  <c r="N81" i="242" s="1"/>
  <c r="K80" i="242"/>
  <c r="N80" i="242" s="1"/>
  <c r="K79" i="242"/>
  <c r="N79" i="242" s="1"/>
  <c r="K78" i="242"/>
  <c r="N78" i="242" s="1"/>
  <c r="K77" i="242"/>
  <c r="N77" i="242" s="1"/>
  <c r="K76" i="242"/>
  <c r="N76" i="242" s="1"/>
  <c r="K75" i="242"/>
  <c r="N75" i="242" s="1"/>
  <c r="K74" i="242"/>
  <c r="N74" i="242" s="1"/>
  <c r="K73" i="242"/>
  <c r="N73" i="242" s="1"/>
  <c r="K72" i="242"/>
  <c r="N72" i="242" s="1"/>
  <c r="K71" i="242"/>
  <c r="N71" i="242" s="1"/>
  <c r="K70" i="242"/>
  <c r="N70" i="242" s="1"/>
  <c r="K69" i="242"/>
  <c r="N69" i="242" s="1"/>
  <c r="K68" i="242"/>
  <c r="N68" i="242" s="1"/>
  <c r="K67" i="242"/>
  <c r="N67" i="242" s="1"/>
  <c r="K66" i="242"/>
  <c r="N66" i="242" s="1"/>
  <c r="K65" i="242"/>
  <c r="N65" i="242" s="1"/>
  <c r="K64" i="242"/>
  <c r="N64" i="242" s="1"/>
  <c r="K63" i="242"/>
  <c r="N63" i="242" s="1"/>
  <c r="K62" i="242"/>
  <c r="N62" i="242" s="1"/>
  <c r="K61" i="242"/>
  <c r="N61" i="242" s="1"/>
  <c r="K60" i="242"/>
  <c r="N60" i="242" s="1"/>
  <c r="K59" i="242"/>
  <c r="N59" i="242" s="1"/>
  <c r="K58" i="242"/>
  <c r="N58" i="242" s="1"/>
  <c r="K57" i="242"/>
  <c r="N57" i="242" s="1"/>
  <c r="K56" i="242"/>
  <c r="N56" i="242" s="1"/>
  <c r="K55" i="242"/>
  <c r="N55" i="242" s="1"/>
  <c r="K54" i="242"/>
  <c r="N54" i="242" s="1"/>
  <c r="K53" i="242"/>
  <c r="N53" i="242" s="1"/>
  <c r="K52" i="242"/>
  <c r="N52" i="242" s="1"/>
  <c r="K51" i="242"/>
  <c r="N51" i="242" s="1"/>
  <c r="K50" i="242"/>
  <c r="N50" i="242" s="1"/>
  <c r="K49" i="242"/>
  <c r="N49" i="242" s="1"/>
  <c r="K48" i="242"/>
  <c r="N48" i="242" s="1"/>
  <c r="K47" i="242"/>
  <c r="N47" i="242" s="1"/>
  <c r="K46" i="242"/>
  <c r="N46" i="242" s="1"/>
  <c r="K45" i="242"/>
  <c r="N45" i="242" s="1"/>
  <c r="K44" i="242"/>
  <c r="N44" i="242" s="1"/>
  <c r="K43" i="242"/>
  <c r="N43" i="242" s="1"/>
  <c r="K42" i="242"/>
  <c r="N42" i="242" s="1"/>
  <c r="K41" i="242"/>
  <c r="N41" i="242" s="1"/>
  <c r="K40" i="242"/>
  <c r="N40" i="242" s="1"/>
  <c r="K39" i="242"/>
  <c r="N39" i="242" s="1"/>
  <c r="K38" i="242"/>
  <c r="N38" i="242" s="1"/>
  <c r="K37" i="242"/>
  <c r="N37" i="242" s="1"/>
  <c r="K36" i="242"/>
  <c r="N36" i="242" s="1"/>
  <c r="K35" i="242"/>
  <c r="N35" i="242" s="1"/>
  <c r="K34" i="242"/>
  <c r="N34" i="242" s="1"/>
  <c r="K33" i="242"/>
  <c r="N33" i="242" s="1"/>
  <c r="K32" i="242"/>
  <c r="N32" i="242" s="1"/>
  <c r="K31" i="242"/>
  <c r="N31" i="242" s="1"/>
  <c r="K30" i="242"/>
  <c r="N30" i="242" s="1"/>
  <c r="K29" i="242"/>
  <c r="N29" i="242" s="1"/>
  <c r="K28" i="242"/>
  <c r="N28" i="242" s="1"/>
  <c r="K27" i="242"/>
  <c r="N27" i="242" s="1"/>
  <c r="K26" i="242"/>
  <c r="N26" i="242" s="1"/>
  <c r="K25" i="242"/>
  <c r="N25" i="242" s="1"/>
  <c r="K24" i="242"/>
  <c r="N24" i="242" s="1"/>
  <c r="K23" i="242"/>
  <c r="N23" i="242" s="1"/>
  <c r="K22" i="242"/>
  <c r="N22" i="242" s="1"/>
  <c r="K21" i="242"/>
  <c r="N21" i="242" s="1"/>
  <c r="K20" i="242"/>
  <c r="N20" i="242" s="1"/>
  <c r="K19" i="242"/>
  <c r="N19" i="242" s="1"/>
  <c r="K18" i="242"/>
  <c r="N18" i="242" s="1"/>
  <c r="K17" i="242"/>
  <c r="N17" i="242" s="1"/>
  <c r="K16" i="242"/>
  <c r="N16" i="242" s="1"/>
  <c r="O16" i="242" s="1"/>
  <c r="K15" i="242"/>
  <c r="E15" i="242"/>
  <c r="D15" i="242" s="1"/>
  <c r="C14" i="242" s="1"/>
  <c r="K14" i="242"/>
  <c r="J14" i="242"/>
  <c r="J15" i="242" s="1"/>
  <c r="J16" i="242" s="1"/>
  <c r="J17" i="242" s="1"/>
  <c r="J18" i="242" s="1"/>
  <c r="J19" i="242" s="1"/>
  <c r="J20" i="242" s="1"/>
  <c r="J21" i="242" s="1"/>
  <c r="J22" i="242" s="1"/>
  <c r="J23" i="242" s="1"/>
  <c r="J24" i="242" s="1"/>
  <c r="J25" i="242" s="1"/>
  <c r="J26" i="242" s="1"/>
  <c r="J27" i="242" s="1"/>
  <c r="J28" i="242" s="1"/>
  <c r="J29" i="242" s="1"/>
  <c r="J30" i="242" s="1"/>
  <c r="J31" i="242" s="1"/>
  <c r="J32" i="242" s="1"/>
  <c r="J33" i="242" s="1"/>
  <c r="J34" i="242" s="1"/>
  <c r="J35" i="242" s="1"/>
  <c r="J36" i="242" s="1"/>
  <c r="J37" i="242" s="1"/>
  <c r="J38" i="242" s="1"/>
  <c r="J39" i="242" s="1"/>
  <c r="J40" i="242" s="1"/>
  <c r="J41" i="242" s="1"/>
  <c r="J42" i="242" s="1"/>
  <c r="J43" i="242" s="1"/>
  <c r="J44" i="242" s="1"/>
  <c r="J45" i="242" s="1"/>
  <c r="J46" i="242" s="1"/>
  <c r="J47" i="242" s="1"/>
  <c r="J48" i="242" s="1"/>
  <c r="J49" i="242" s="1"/>
  <c r="J50" i="242" s="1"/>
  <c r="J51" i="242" s="1"/>
  <c r="J52" i="242" s="1"/>
  <c r="J53" i="242" s="1"/>
  <c r="J54" i="242" s="1"/>
  <c r="J55" i="242" s="1"/>
  <c r="J56" i="242" s="1"/>
  <c r="J57" i="242" s="1"/>
  <c r="J58" i="242" s="1"/>
  <c r="J59" i="242" s="1"/>
  <c r="J60" i="242" s="1"/>
  <c r="J61" i="242" s="1"/>
  <c r="J62" i="242" s="1"/>
  <c r="J63" i="242" s="1"/>
  <c r="J64" i="242" s="1"/>
  <c r="J65" i="242" s="1"/>
  <c r="J66" i="242" s="1"/>
  <c r="J67" i="242" s="1"/>
  <c r="J68" i="242" s="1"/>
  <c r="J69" i="242" s="1"/>
  <c r="J70" i="242" s="1"/>
  <c r="J71" i="242" s="1"/>
  <c r="J72" i="242" s="1"/>
  <c r="J73" i="242" s="1"/>
  <c r="J74" i="242" s="1"/>
  <c r="J75" i="242" s="1"/>
  <c r="J76" i="242" s="1"/>
  <c r="J77" i="242" s="1"/>
  <c r="J78" i="242" s="1"/>
  <c r="J79" i="242" s="1"/>
  <c r="J80" i="242" s="1"/>
  <c r="J81" i="242" s="1"/>
  <c r="J82" i="242" s="1"/>
  <c r="J83" i="242" s="1"/>
  <c r="J84" i="242" s="1"/>
  <c r="J85" i="242" s="1"/>
  <c r="J86" i="242" s="1"/>
  <c r="J87" i="242" s="1"/>
  <c r="J88" i="242" s="1"/>
  <c r="J89" i="242" s="1"/>
  <c r="J90" i="242" s="1"/>
  <c r="J91" i="242" s="1"/>
  <c r="J92" i="242" s="1"/>
  <c r="J93" i="242" s="1"/>
  <c r="J94" i="242" s="1"/>
  <c r="J95" i="242" s="1"/>
  <c r="J96" i="242" s="1"/>
  <c r="J97" i="242" s="1"/>
  <c r="J98" i="242" s="1"/>
  <c r="J99" i="242" s="1"/>
  <c r="J100" i="242" s="1"/>
  <c r="J101" i="242" s="1"/>
  <c r="J102" i="242" s="1"/>
  <c r="J103" i="242" s="1"/>
  <c r="J104" i="242" s="1"/>
  <c r="J105" i="242" s="1"/>
  <c r="J106" i="242" s="1"/>
  <c r="J107" i="242" s="1"/>
  <c r="J108" i="242" s="1"/>
  <c r="J109" i="242" s="1"/>
  <c r="J110" i="242" s="1"/>
  <c r="J111" i="242" s="1"/>
  <c r="J112" i="242" s="1"/>
  <c r="J113" i="242" s="1"/>
  <c r="J114" i="242" s="1"/>
  <c r="J115" i="242" s="1"/>
  <c r="J116" i="242" s="1"/>
  <c r="J117" i="242" s="1"/>
  <c r="J118" i="242" s="1"/>
  <c r="J119" i="242" s="1"/>
  <c r="J120" i="242" s="1"/>
  <c r="J121" i="242" s="1"/>
  <c r="J122" i="242" s="1"/>
  <c r="J123" i="242" s="1"/>
  <c r="J124" i="242" s="1"/>
  <c r="I15" i="242"/>
  <c r="I16" i="242" s="1"/>
  <c r="I17" i="242" s="1"/>
  <c r="I18" i="242" s="1"/>
  <c r="I19" i="242" s="1"/>
  <c r="I20" i="242" s="1"/>
  <c r="I21" i="242" s="1"/>
  <c r="I22" i="242" s="1"/>
  <c r="I23" i="242" s="1"/>
  <c r="I24" i="242" s="1"/>
  <c r="I25" i="242" s="1"/>
  <c r="I26" i="242" s="1"/>
  <c r="I27" i="242" s="1"/>
  <c r="I28" i="242" s="1"/>
  <c r="I29" i="242" s="1"/>
  <c r="I30" i="242" s="1"/>
  <c r="I31" i="242" s="1"/>
  <c r="I32" i="242" s="1"/>
  <c r="I33" i="242" s="1"/>
  <c r="I34" i="242" s="1"/>
  <c r="I35" i="242" s="1"/>
  <c r="I36" i="242" s="1"/>
  <c r="I37" i="242" s="1"/>
  <c r="I38" i="242" s="1"/>
  <c r="I39" i="242" s="1"/>
  <c r="I40" i="242" s="1"/>
  <c r="I41" i="242" s="1"/>
  <c r="I42" i="242" s="1"/>
  <c r="I43" i="242" s="1"/>
  <c r="I44" i="242" s="1"/>
  <c r="I45" i="242" s="1"/>
  <c r="I46" i="242" s="1"/>
  <c r="I47" i="242" s="1"/>
  <c r="I48" i="242" s="1"/>
  <c r="I49" i="242" s="1"/>
  <c r="I50" i="242" s="1"/>
  <c r="I51" i="242" s="1"/>
  <c r="I52" i="242" s="1"/>
  <c r="I53" i="242" s="1"/>
  <c r="I54" i="242" s="1"/>
  <c r="I55" i="242" s="1"/>
  <c r="I56" i="242" s="1"/>
  <c r="I57" i="242" s="1"/>
  <c r="I58" i="242" s="1"/>
  <c r="I59" i="242" s="1"/>
  <c r="I60" i="242" s="1"/>
  <c r="I61" i="242" s="1"/>
  <c r="I62" i="242" s="1"/>
  <c r="I63" i="242" s="1"/>
  <c r="I64" i="242" s="1"/>
  <c r="I65" i="242" s="1"/>
  <c r="I66" i="242" s="1"/>
  <c r="I67" i="242" s="1"/>
  <c r="I68" i="242" s="1"/>
  <c r="I69" i="242" s="1"/>
  <c r="I70" i="242" s="1"/>
  <c r="I71" i="242" s="1"/>
  <c r="I72" i="242" s="1"/>
  <c r="I73" i="242" s="1"/>
  <c r="I74" i="242" s="1"/>
  <c r="I75" i="242" s="1"/>
  <c r="I76" i="242" s="1"/>
  <c r="I77" i="242" s="1"/>
  <c r="I78" i="242" s="1"/>
  <c r="I79" i="242" s="1"/>
  <c r="I80" i="242" s="1"/>
  <c r="I81" i="242" s="1"/>
  <c r="I82" i="242" s="1"/>
  <c r="I83" i="242" s="1"/>
  <c r="I84" i="242" s="1"/>
  <c r="I85" i="242" s="1"/>
  <c r="I86" i="242" s="1"/>
  <c r="I87" i="242" s="1"/>
  <c r="I88" i="242" s="1"/>
  <c r="I89" i="242" s="1"/>
  <c r="I90" i="242" s="1"/>
  <c r="I91" i="242" s="1"/>
  <c r="I92" i="242" s="1"/>
  <c r="I93" i="242" s="1"/>
  <c r="I94" i="242" s="1"/>
  <c r="I95" i="242" s="1"/>
  <c r="I96" i="242" s="1"/>
  <c r="I97" i="242" s="1"/>
  <c r="I98" i="242" s="1"/>
  <c r="I99" i="242" s="1"/>
  <c r="I100" i="242" s="1"/>
  <c r="I101" i="242" s="1"/>
  <c r="I102" i="242" s="1"/>
  <c r="I103" i="242" s="1"/>
  <c r="I104" i="242" s="1"/>
  <c r="I105" i="242" s="1"/>
  <c r="I106" i="242" s="1"/>
  <c r="I107" i="242" s="1"/>
  <c r="I108" i="242" s="1"/>
  <c r="I109" i="242" s="1"/>
  <c r="I110" i="242" s="1"/>
  <c r="I111" i="242" s="1"/>
  <c r="I112" i="242" s="1"/>
  <c r="I113" i="242" s="1"/>
  <c r="I114" i="242" s="1"/>
  <c r="I115" i="242" s="1"/>
  <c r="I116" i="242" s="1"/>
  <c r="I117" i="242" s="1"/>
  <c r="I118" i="242" s="1"/>
  <c r="I119" i="242" s="1"/>
  <c r="I120" i="242" s="1"/>
  <c r="I121" i="242" s="1"/>
  <c r="I122" i="242" s="1"/>
  <c r="I123" i="242" s="1"/>
  <c r="I124" i="242" s="1"/>
  <c r="O17" i="242" l="1"/>
  <c r="S16" i="242"/>
  <c r="R16" i="242"/>
  <c r="E16" i="242"/>
  <c r="L15" i="242"/>
  <c r="L16" i="242" s="1"/>
  <c r="O18" i="242" l="1"/>
  <c r="R18" i="242"/>
  <c r="S18" i="242"/>
  <c r="G41" i="228" s="1"/>
  <c r="O19" i="242"/>
  <c r="R17" i="242"/>
  <c r="S17" i="242"/>
  <c r="G40" i="228" s="1"/>
  <c r="R8" i="242"/>
  <c r="G38" i="228"/>
  <c r="G48" i="214"/>
  <c r="L17" i="242"/>
  <c r="G39" i="228"/>
  <c r="G49" i="214"/>
  <c r="G40" i="226"/>
  <c r="E17" i="242"/>
  <c r="E18" i="242" s="1"/>
  <c r="D16" i="242"/>
  <c r="G51" i="214" l="1"/>
  <c r="G50" i="214"/>
  <c r="R19" i="242"/>
  <c r="S19" i="242"/>
  <c r="G52" i="214" s="1"/>
  <c r="O20" i="242"/>
  <c r="L18" i="242"/>
  <c r="C15" i="242"/>
  <c r="E19" i="242"/>
  <c r="E20" i="242" s="1"/>
  <c r="E21" i="242" s="1"/>
  <c r="D17" i="242"/>
  <c r="S20" i="242" l="1"/>
  <c r="R20" i="242"/>
  <c r="O21" i="242"/>
  <c r="G42" i="228"/>
  <c r="L19" i="242"/>
  <c r="G42" i="226"/>
  <c r="G41" i="226"/>
  <c r="D18" i="242"/>
  <c r="C16" i="242"/>
  <c r="E22" i="242"/>
  <c r="S21" i="242" l="1"/>
  <c r="R21" i="242"/>
  <c r="O22" i="242"/>
  <c r="G43" i="228"/>
  <c r="G53" i="214"/>
  <c r="L20" i="242"/>
  <c r="G43" i="226"/>
  <c r="D19" i="242"/>
  <c r="C17" i="242"/>
  <c r="E23" i="242"/>
  <c r="R22" i="242" l="1"/>
  <c r="G44" i="228"/>
  <c r="G54" i="214"/>
  <c r="S22" i="242"/>
  <c r="O23" i="242"/>
  <c r="L21" i="242"/>
  <c r="D20" i="242"/>
  <c r="C18" i="242"/>
  <c r="E24" i="242"/>
  <c r="R23" i="242" l="1"/>
  <c r="S23" i="242"/>
  <c r="O24" i="242"/>
  <c r="G45" i="228"/>
  <c r="G55" i="214"/>
  <c r="L22" i="242"/>
  <c r="D21" i="242"/>
  <c r="C20" i="242" s="1"/>
  <c r="C19" i="242"/>
  <c r="G44" i="226"/>
  <c r="G45" i="226"/>
  <c r="E25" i="242"/>
  <c r="G46" i="228" l="1"/>
  <c r="G56" i="214"/>
  <c r="R24" i="242"/>
  <c r="S24" i="242"/>
  <c r="O25" i="242"/>
  <c r="L23" i="242"/>
  <c r="G47" i="226"/>
  <c r="D22" i="242"/>
  <c r="C21" i="242" s="1"/>
  <c r="G46" i="226"/>
  <c r="E26" i="242"/>
  <c r="D23" i="242" l="1"/>
  <c r="D24" i="242" s="1"/>
  <c r="R25" i="242"/>
  <c r="S25" i="242"/>
  <c r="O26" i="242"/>
  <c r="G57" i="214"/>
  <c r="G47" i="228"/>
  <c r="L24" i="242"/>
  <c r="G48" i="226"/>
  <c r="E27" i="242"/>
  <c r="C22" i="242"/>
  <c r="G48" i="228" l="1"/>
  <c r="G58" i="214"/>
  <c r="R26" i="242"/>
  <c r="S26" i="242"/>
  <c r="O27" i="242"/>
  <c r="L25" i="242"/>
  <c r="G49" i="226"/>
  <c r="C23" i="242"/>
  <c r="D25" i="242"/>
  <c r="E28" i="242"/>
  <c r="R27" i="242" l="1"/>
  <c r="S27" i="242"/>
  <c r="O28" i="242"/>
  <c r="G59" i="214"/>
  <c r="G49" i="228"/>
  <c r="L26" i="242"/>
  <c r="G50" i="226"/>
  <c r="C24" i="242"/>
  <c r="D26" i="242"/>
  <c r="E29" i="242"/>
  <c r="R28" i="242" l="1"/>
  <c r="S28" i="242"/>
  <c r="O29" i="242"/>
  <c r="G60" i="214"/>
  <c r="G50" i="228"/>
  <c r="L27" i="242"/>
  <c r="G51" i="226"/>
  <c r="E30" i="242"/>
  <c r="C25" i="242"/>
  <c r="D27" i="242"/>
  <c r="S29" i="242" l="1"/>
  <c r="R29" i="242"/>
  <c r="O30" i="242"/>
  <c r="G51" i="228"/>
  <c r="G61" i="214"/>
  <c r="L28" i="242"/>
  <c r="G52" i="226"/>
  <c r="C26" i="242"/>
  <c r="D28" i="242"/>
  <c r="E31" i="242"/>
  <c r="R30" i="242" l="1"/>
  <c r="S30" i="242"/>
  <c r="O31" i="242"/>
  <c r="G62" i="214"/>
  <c r="G52" i="228"/>
  <c r="L29" i="242"/>
  <c r="G53" i="226"/>
  <c r="E32" i="242"/>
  <c r="C27" i="242"/>
  <c r="D29" i="242"/>
  <c r="S31" i="242" l="1"/>
  <c r="R31" i="242"/>
  <c r="O32" i="242"/>
  <c r="G53" i="228"/>
  <c r="G63" i="214"/>
  <c r="L30" i="242"/>
  <c r="G54" i="226"/>
  <c r="C28" i="242"/>
  <c r="D30" i="242"/>
  <c r="E33" i="242"/>
  <c r="G64" i="214" l="1"/>
  <c r="G54" i="228"/>
  <c r="S32" i="242"/>
  <c r="R32" i="242"/>
  <c r="O33" i="242"/>
  <c r="L31" i="242"/>
  <c r="G55" i="226"/>
  <c r="E34" i="242"/>
  <c r="C29" i="242"/>
  <c r="D31" i="242"/>
  <c r="G55" i="228" l="1"/>
  <c r="G65" i="214"/>
  <c r="S33" i="242"/>
  <c r="R33" i="242"/>
  <c r="O34" i="242"/>
  <c r="L32" i="242"/>
  <c r="G56" i="226"/>
  <c r="C30" i="242"/>
  <c r="D32" i="242"/>
  <c r="E35" i="242"/>
  <c r="R34" i="242" l="1"/>
  <c r="S34" i="242"/>
  <c r="O35" i="242"/>
  <c r="G66" i="214"/>
  <c r="G56" i="228"/>
  <c r="L33" i="242"/>
  <c r="G57" i="226"/>
  <c r="E36" i="242"/>
  <c r="C31" i="242"/>
  <c r="D33" i="242"/>
  <c r="G57" i="228" l="1"/>
  <c r="G67" i="214"/>
  <c r="R35" i="242"/>
  <c r="S35" i="242"/>
  <c r="O36" i="242"/>
  <c r="L34" i="242"/>
  <c r="G58" i="226"/>
  <c r="C32" i="242"/>
  <c r="D34" i="242"/>
  <c r="E37" i="242"/>
  <c r="G68" i="214" l="1"/>
  <c r="G58" i="228"/>
  <c r="S36" i="242"/>
  <c r="R36" i="242"/>
  <c r="O37" i="242"/>
  <c r="L35" i="242"/>
  <c r="G59" i="226"/>
  <c r="E38" i="242"/>
  <c r="C33" i="242"/>
  <c r="D35" i="242"/>
  <c r="R37" i="242" l="1"/>
  <c r="S37" i="242"/>
  <c r="O38" i="242"/>
  <c r="G59" i="228"/>
  <c r="G69" i="214"/>
  <c r="L36" i="242"/>
  <c r="G60" i="226"/>
  <c r="E39" i="242"/>
  <c r="C34" i="242"/>
  <c r="D36" i="242"/>
  <c r="R38" i="242" l="1"/>
  <c r="S38" i="242"/>
  <c r="O39" i="242"/>
  <c r="G70" i="214"/>
  <c r="G60" i="228"/>
  <c r="L37" i="242"/>
  <c r="G61" i="226"/>
  <c r="C35" i="242"/>
  <c r="D37" i="242"/>
  <c r="E40" i="242"/>
  <c r="R39" i="242" l="1"/>
  <c r="S39" i="242"/>
  <c r="O40" i="242"/>
  <c r="G71" i="214"/>
  <c r="G61" i="228"/>
  <c r="L38" i="242"/>
  <c r="G62" i="226"/>
  <c r="E41" i="242"/>
  <c r="C36" i="242"/>
  <c r="D38" i="242"/>
  <c r="R40" i="242" l="1"/>
  <c r="S40" i="242"/>
  <c r="O41" i="242"/>
  <c r="G62" i="228"/>
  <c r="G72" i="214"/>
  <c r="L39" i="242"/>
  <c r="G63" i="226"/>
  <c r="C37" i="242"/>
  <c r="D39" i="242"/>
  <c r="E42" i="242"/>
  <c r="R41" i="242" l="1"/>
  <c r="S41" i="242"/>
  <c r="O42" i="242"/>
  <c r="G63" i="228"/>
  <c r="G73" i="214"/>
  <c r="L40" i="242"/>
  <c r="G64" i="226"/>
  <c r="E43" i="242"/>
  <c r="C38" i="242"/>
  <c r="D40" i="242"/>
  <c r="S42" i="242" l="1"/>
  <c r="R42" i="242"/>
  <c r="O43" i="242"/>
  <c r="G74" i="214"/>
  <c r="G64" i="228"/>
  <c r="L41" i="242"/>
  <c r="G65" i="226"/>
  <c r="E44" i="242"/>
  <c r="C39" i="242"/>
  <c r="D41" i="242"/>
  <c r="R43" i="242" l="1"/>
  <c r="S43" i="242"/>
  <c r="O44" i="242"/>
  <c r="G75" i="214"/>
  <c r="G65" i="228"/>
  <c r="L42" i="242"/>
  <c r="G66" i="226"/>
  <c r="C40" i="242"/>
  <c r="D42" i="242"/>
  <c r="E45" i="242"/>
  <c r="G66" i="228" l="1"/>
  <c r="G76" i="214"/>
  <c r="R44" i="242"/>
  <c r="S44" i="242"/>
  <c r="O45" i="242"/>
  <c r="L43" i="242"/>
  <c r="G67" i="226"/>
  <c r="C41" i="242"/>
  <c r="D43" i="242"/>
  <c r="E46" i="242"/>
  <c r="G77" i="214" l="1"/>
  <c r="G67" i="228"/>
  <c r="R45" i="242"/>
  <c r="S45" i="242"/>
  <c r="O46" i="242"/>
  <c r="L44" i="242"/>
  <c r="G68" i="226"/>
  <c r="E47" i="242"/>
  <c r="C42" i="242"/>
  <c r="D44" i="242"/>
  <c r="S46" i="242" l="1"/>
  <c r="O47" i="242"/>
  <c r="G68" i="228"/>
  <c r="G78" i="214"/>
  <c r="L45" i="242"/>
  <c r="G69" i="226"/>
  <c r="C43" i="242"/>
  <c r="D45" i="242"/>
  <c r="E48" i="242"/>
  <c r="S47" i="242" l="1"/>
  <c r="O48" i="242"/>
  <c r="G79" i="214"/>
  <c r="G69" i="228"/>
  <c r="L46" i="242"/>
  <c r="G70" i="226"/>
  <c r="E49" i="242"/>
  <c r="C44" i="242"/>
  <c r="D46" i="242"/>
  <c r="G70" i="228" l="1"/>
  <c r="G80" i="214"/>
  <c r="S48" i="242"/>
  <c r="O49" i="242"/>
  <c r="L47" i="242"/>
  <c r="R46" i="242"/>
  <c r="G71" i="226"/>
  <c r="C45" i="242"/>
  <c r="D47" i="242"/>
  <c r="E50" i="242"/>
  <c r="G71" i="228" l="1"/>
  <c r="G81" i="214"/>
  <c r="S49" i="242"/>
  <c r="O50" i="242"/>
  <c r="L48" i="242"/>
  <c r="R47" i="242"/>
  <c r="G72" i="226" s="1"/>
  <c r="E51" i="242"/>
  <c r="C46" i="242"/>
  <c r="D48" i="242"/>
  <c r="S50" i="242" l="1"/>
  <c r="O51" i="242"/>
  <c r="G82" i="214"/>
  <c r="G72" i="228"/>
  <c r="L49" i="242"/>
  <c r="R48" i="242"/>
  <c r="G73" i="226" s="1"/>
  <c r="C47" i="242"/>
  <c r="D49" i="242"/>
  <c r="E52" i="242"/>
  <c r="O52" i="242" l="1"/>
  <c r="S51" i="242"/>
  <c r="L50" i="242"/>
  <c r="R49" i="242"/>
  <c r="C48" i="242"/>
  <c r="D50" i="242"/>
  <c r="E53" i="242"/>
  <c r="S52" i="242" l="1"/>
  <c r="O53" i="242"/>
  <c r="L51" i="242"/>
  <c r="R50" i="242"/>
  <c r="G74" i="226"/>
  <c r="E54" i="242"/>
  <c r="C49" i="242"/>
  <c r="D51" i="242"/>
  <c r="O54" i="242" l="1"/>
  <c r="S53" i="242"/>
  <c r="L52" i="242"/>
  <c r="R51" i="242"/>
  <c r="C50" i="242"/>
  <c r="D52" i="242"/>
  <c r="E55" i="242"/>
  <c r="O55" i="242" l="1"/>
  <c r="S54" i="242"/>
  <c r="L53" i="242"/>
  <c r="R52" i="242"/>
  <c r="C51" i="242"/>
  <c r="D53" i="242"/>
  <c r="E56" i="242"/>
  <c r="S55" i="242" l="1"/>
  <c r="O56" i="242"/>
  <c r="L54" i="242"/>
  <c r="R53" i="242"/>
  <c r="E57" i="242"/>
  <c r="C52" i="242"/>
  <c r="D54" i="242"/>
  <c r="S56" i="242" l="1"/>
  <c r="O57" i="242"/>
  <c r="L55" i="242"/>
  <c r="R54" i="242"/>
  <c r="E58" i="242"/>
  <c r="C53" i="242"/>
  <c r="D55" i="242"/>
  <c r="O58" i="242" l="1"/>
  <c r="S57" i="242"/>
  <c r="L56" i="242"/>
  <c r="R55" i="242"/>
  <c r="C54" i="242"/>
  <c r="D56" i="242"/>
  <c r="E59" i="242"/>
  <c r="O59" i="242" l="1"/>
  <c r="S58" i="242"/>
  <c r="L57" i="242"/>
  <c r="R56" i="242"/>
  <c r="C55" i="242"/>
  <c r="D57" i="242"/>
  <c r="E60" i="242"/>
  <c r="S59" i="242" l="1"/>
  <c r="O60" i="242"/>
  <c r="L58" i="242"/>
  <c r="R57" i="242"/>
  <c r="C56" i="242"/>
  <c r="D58" i="242"/>
  <c r="E61" i="242"/>
  <c r="S60" i="242" l="1"/>
  <c r="O61" i="242"/>
  <c r="L59" i="242"/>
  <c r="R58" i="242"/>
  <c r="E62" i="242"/>
  <c r="C57" i="242"/>
  <c r="D59" i="242"/>
  <c r="S61" i="242" l="1"/>
  <c r="O62" i="242"/>
  <c r="L60" i="242"/>
  <c r="R59" i="242"/>
  <c r="C58" i="242"/>
  <c r="D60" i="242"/>
  <c r="E63" i="242"/>
  <c r="O63" i="242" l="1"/>
  <c r="S62" i="242"/>
  <c r="L61" i="242"/>
  <c r="R60" i="242"/>
  <c r="C59" i="242"/>
  <c r="D61" i="242"/>
  <c r="E64" i="242"/>
  <c r="S63" i="242" l="1"/>
  <c r="O64" i="242"/>
  <c r="L62" i="242"/>
  <c r="R61" i="242"/>
  <c r="E65" i="242"/>
  <c r="C60" i="242"/>
  <c r="D62" i="242"/>
  <c r="S64" i="242" l="1"/>
  <c r="O65" i="242"/>
  <c r="L63" i="242"/>
  <c r="R62" i="242"/>
  <c r="C61" i="242"/>
  <c r="D63" i="242"/>
  <c r="E66" i="242"/>
  <c r="S65" i="242" l="1"/>
  <c r="O66" i="242"/>
  <c r="L64" i="242"/>
  <c r="R63" i="242"/>
  <c r="E67" i="242"/>
  <c r="C62" i="242"/>
  <c r="D64" i="242"/>
  <c r="S66" i="242" l="1"/>
  <c r="O67" i="242"/>
  <c r="L65" i="242"/>
  <c r="R64" i="242"/>
  <c r="E68" i="242"/>
  <c r="C63" i="242"/>
  <c r="D65" i="242"/>
  <c r="S67" i="242" l="1"/>
  <c r="O68" i="242"/>
  <c r="L66" i="242"/>
  <c r="R65" i="242"/>
  <c r="C64" i="242"/>
  <c r="D66" i="242"/>
  <c r="E69" i="242"/>
  <c r="S68" i="242" l="1"/>
  <c r="O69" i="242"/>
  <c r="L67" i="242"/>
  <c r="R66" i="242"/>
  <c r="E70" i="242"/>
  <c r="C65" i="242"/>
  <c r="D67" i="242"/>
  <c r="S69" i="242" l="1"/>
  <c r="O70" i="242"/>
  <c r="L68" i="242"/>
  <c r="R67" i="242"/>
  <c r="C66" i="242"/>
  <c r="D68" i="242"/>
  <c r="E71" i="242"/>
  <c r="S70" i="242" l="1"/>
  <c r="O71" i="242"/>
  <c r="L69" i="242"/>
  <c r="R68" i="242"/>
  <c r="E72" i="242"/>
  <c r="C67" i="242"/>
  <c r="D69" i="242"/>
  <c r="S71" i="242" l="1"/>
  <c r="O72" i="242"/>
  <c r="L70" i="242"/>
  <c r="R69" i="242"/>
  <c r="C68" i="242"/>
  <c r="D70" i="242"/>
  <c r="E73" i="242"/>
  <c r="O73" i="242" l="1"/>
  <c r="S72" i="242"/>
  <c r="L71" i="242"/>
  <c r="R70" i="242"/>
  <c r="E74" i="242"/>
  <c r="C69" i="242"/>
  <c r="D71" i="242"/>
  <c r="O74" i="242" l="1"/>
  <c r="S73" i="242"/>
  <c r="L72" i="242"/>
  <c r="R71" i="242"/>
  <c r="C70" i="242"/>
  <c r="D72" i="242"/>
  <c r="E75" i="242"/>
  <c r="S74" i="242" l="1"/>
  <c r="O75" i="242"/>
  <c r="L73" i="242"/>
  <c r="R72" i="242"/>
  <c r="E76" i="242"/>
  <c r="C71" i="242"/>
  <c r="D73" i="242"/>
  <c r="S75" i="242" l="1"/>
  <c r="O76" i="242"/>
  <c r="L74" i="242"/>
  <c r="R73" i="242"/>
  <c r="C72" i="242"/>
  <c r="D74" i="242"/>
  <c r="E77" i="242"/>
  <c r="O77" i="242" l="1"/>
  <c r="S76" i="242"/>
  <c r="L75" i="242"/>
  <c r="R74" i="242"/>
  <c r="E78" i="242"/>
  <c r="C73" i="242"/>
  <c r="D75" i="242"/>
  <c r="S77" i="242" l="1"/>
  <c r="O78" i="242"/>
  <c r="L76" i="242"/>
  <c r="R75" i="242"/>
  <c r="C74" i="242"/>
  <c r="D76" i="242"/>
  <c r="E79" i="242"/>
  <c r="O79" i="242" l="1"/>
  <c r="S78" i="242"/>
  <c r="L77" i="242"/>
  <c r="R76" i="242"/>
  <c r="E80" i="242"/>
  <c r="C75" i="242"/>
  <c r="D77" i="242"/>
  <c r="S79" i="242" l="1"/>
  <c r="O80" i="242"/>
  <c r="L78" i="242"/>
  <c r="R77" i="242"/>
  <c r="C76" i="242"/>
  <c r="D78" i="242"/>
  <c r="E81" i="242"/>
  <c r="O81" i="242" l="1"/>
  <c r="S80" i="242"/>
  <c r="L79" i="242"/>
  <c r="R78" i="242"/>
  <c r="E82" i="242"/>
  <c r="C77" i="242"/>
  <c r="D79" i="242"/>
  <c r="O82" i="242" l="1"/>
  <c r="S81" i="242"/>
  <c r="L80" i="242"/>
  <c r="R79" i="242"/>
  <c r="C78" i="242"/>
  <c r="D80" i="242"/>
  <c r="E83" i="242"/>
  <c r="S82" i="242" l="1"/>
  <c r="O83" i="242"/>
  <c r="L81" i="242"/>
  <c r="R80" i="242"/>
  <c r="E84" i="242"/>
  <c r="C79" i="242"/>
  <c r="D81" i="242"/>
  <c r="O84" i="242" l="1"/>
  <c r="S83" i="242"/>
  <c r="L82" i="242"/>
  <c r="R81" i="242"/>
  <c r="C80" i="242"/>
  <c r="D82" i="242"/>
  <c r="E85" i="242"/>
  <c r="S84" i="242" l="1"/>
  <c r="O85" i="242"/>
  <c r="L83" i="242"/>
  <c r="R82" i="242"/>
  <c r="E86" i="242"/>
  <c r="C81" i="242"/>
  <c r="D83" i="242"/>
  <c r="O86" i="242" l="1"/>
  <c r="S85" i="242"/>
  <c r="L84" i="242"/>
  <c r="R83" i="242"/>
  <c r="C82" i="242"/>
  <c r="D84" i="242"/>
  <c r="E87" i="242"/>
  <c r="O87" i="242" l="1"/>
  <c r="S86" i="242"/>
  <c r="L85" i="242"/>
  <c r="R84" i="242"/>
  <c r="C83" i="242"/>
  <c r="D85" i="242"/>
  <c r="E88" i="242"/>
  <c r="S87" i="242" l="1"/>
  <c r="O88" i="242"/>
  <c r="L86" i="242"/>
  <c r="R85" i="242"/>
  <c r="E89" i="242"/>
  <c r="C84" i="242"/>
  <c r="D86" i="242"/>
  <c r="O89" i="242" l="1"/>
  <c r="S88" i="242"/>
  <c r="L87" i="242"/>
  <c r="R86" i="242"/>
  <c r="C85" i="242"/>
  <c r="D87" i="242"/>
  <c r="E90" i="242"/>
  <c r="S89" i="242" l="1"/>
  <c r="O90" i="242"/>
  <c r="L88" i="242"/>
  <c r="R87" i="242"/>
  <c r="E91" i="242"/>
  <c r="C86" i="242"/>
  <c r="D88" i="242"/>
  <c r="O91" i="242" l="1"/>
  <c r="S90" i="242"/>
  <c r="L89" i="242"/>
  <c r="R88" i="242"/>
  <c r="C87" i="242"/>
  <c r="D89" i="242"/>
  <c r="E92" i="242"/>
  <c r="O92" i="242" l="1"/>
  <c r="S91" i="242"/>
  <c r="L90" i="242"/>
  <c r="R89" i="242"/>
  <c r="E93" i="242"/>
  <c r="C88" i="242"/>
  <c r="D90" i="242"/>
  <c r="O93" i="242" l="1"/>
  <c r="S92" i="242"/>
  <c r="L91" i="242"/>
  <c r="R90" i="242"/>
  <c r="C89" i="242"/>
  <c r="D91" i="242"/>
  <c r="E94" i="242"/>
  <c r="O94" i="242" l="1"/>
  <c r="S93" i="242"/>
  <c r="L92" i="242"/>
  <c r="R91" i="242"/>
  <c r="E95" i="242"/>
  <c r="C90" i="242"/>
  <c r="D92" i="242"/>
  <c r="O95" i="242" l="1"/>
  <c r="S94" i="242"/>
  <c r="L93" i="242"/>
  <c r="R92" i="242"/>
  <c r="C91" i="242"/>
  <c r="D93" i="242"/>
  <c r="E96" i="242"/>
  <c r="S95" i="242" l="1"/>
  <c r="O96" i="242"/>
  <c r="L94" i="242"/>
  <c r="R93" i="242"/>
  <c r="E97" i="242"/>
  <c r="C92" i="242"/>
  <c r="D94" i="242"/>
  <c r="S96" i="242" l="1"/>
  <c r="O97" i="242"/>
  <c r="L95" i="242"/>
  <c r="R94" i="242"/>
  <c r="C93" i="242"/>
  <c r="D95" i="242"/>
  <c r="E98" i="242"/>
  <c r="O98" i="242" l="1"/>
  <c r="S97" i="242"/>
  <c r="L96" i="242"/>
  <c r="R95" i="242"/>
  <c r="E99" i="242"/>
  <c r="C94" i="242"/>
  <c r="D96" i="242"/>
  <c r="O99" i="242" l="1"/>
  <c r="S98" i="242"/>
  <c r="L97" i="242"/>
  <c r="R96" i="242"/>
  <c r="C95" i="242"/>
  <c r="D97" i="242"/>
  <c r="E100" i="242"/>
  <c r="O100" i="242" l="1"/>
  <c r="S99" i="242"/>
  <c r="L98" i="242"/>
  <c r="R97" i="242"/>
  <c r="C96" i="242"/>
  <c r="D98" i="242"/>
  <c r="E101" i="242"/>
  <c r="S100" i="242" l="1"/>
  <c r="O101" i="242"/>
  <c r="L99" i="242"/>
  <c r="R98" i="242"/>
  <c r="E102" i="242"/>
  <c r="C97" i="242"/>
  <c r="D99" i="242"/>
  <c r="O102" i="242" l="1"/>
  <c r="S101" i="242"/>
  <c r="L100" i="242"/>
  <c r="R99" i="242"/>
  <c r="C98" i="242"/>
  <c r="D100" i="242"/>
  <c r="E103" i="242"/>
  <c r="O103" i="242" l="1"/>
  <c r="S102" i="242"/>
  <c r="L101" i="242"/>
  <c r="R100" i="242"/>
  <c r="E104" i="242"/>
  <c r="C99" i="242"/>
  <c r="D101" i="242"/>
  <c r="O104" i="242" l="1"/>
  <c r="S103" i="242"/>
  <c r="L102" i="242"/>
  <c r="R101" i="242"/>
  <c r="C100" i="242"/>
  <c r="D102" i="242"/>
  <c r="E105" i="242"/>
  <c r="O105" i="242" l="1"/>
  <c r="S104" i="242"/>
  <c r="L103" i="242"/>
  <c r="R102" i="242"/>
  <c r="E106" i="242"/>
  <c r="C101" i="242"/>
  <c r="D103" i="242"/>
  <c r="O106" i="242" l="1"/>
  <c r="S105" i="242"/>
  <c r="L104" i="242"/>
  <c r="R103" i="242"/>
  <c r="C102" i="242"/>
  <c r="D104" i="242"/>
  <c r="E107" i="242"/>
  <c r="O107" i="242" l="1"/>
  <c r="S106" i="242"/>
  <c r="L105" i="242"/>
  <c r="R104" i="242"/>
  <c r="E108" i="242"/>
  <c r="C103" i="242"/>
  <c r="D105" i="242"/>
  <c r="O108" i="242" l="1"/>
  <c r="S107" i="242"/>
  <c r="L106" i="242"/>
  <c r="R105" i="242"/>
  <c r="C104" i="242"/>
  <c r="D106" i="242"/>
  <c r="E109" i="242"/>
  <c r="O109" i="242" l="1"/>
  <c r="S108" i="242"/>
  <c r="L107" i="242"/>
  <c r="R106" i="242"/>
  <c r="E110" i="242"/>
  <c r="C105" i="242"/>
  <c r="D107" i="242"/>
  <c r="O110" i="242" l="1"/>
  <c r="S109" i="242"/>
  <c r="L108" i="242"/>
  <c r="R107" i="242"/>
  <c r="C106" i="242"/>
  <c r="D108" i="242"/>
  <c r="E111" i="242"/>
  <c r="O111" i="242" l="1"/>
  <c r="S110" i="242"/>
  <c r="L109" i="242"/>
  <c r="R108" i="242"/>
  <c r="E112" i="242"/>
  <c r="C107" i="242"/>
  <c r="D109" i="242"/>
  <c r="O112" i="242" l="1"/>
  <c r="S111" i="242"/>
  <c r="L110" i="242"/>
  <c r="R109" i="242"/>
  <c r="C108" i="242"/>
  <c r="D110" i="242"/>
  <c r="E113" i="242"/>
  <c r="O113" i="242" l="1"/>
  <c r="S112" i="242"/>
  <c r="L111" i="242"/>
  <c r="R110" i="242"/>
  <c r="C109" i="242"/>
  <c r="D111" i="242"/>
  <c r="E114" i="242"/>
  <c r="O114" i="242" l="1"/>
  <c r="S113" i="242"/>
  <c r="L112" i="242"/>
  <c r="R111" i="242"/>
  <c r="E115" i="242"/>
  <c r="C110" i="242"/>
  <c r="D112" i="242"/>
  <c r="O115" i="242" l="1"/>
  <c r="S114" i="242"/>
  <c r="L113" i="242"/>
  <c r="R112" i="242"/>
  <c r="E116" i="242"/>
  <c r="C111" i="242"/>
  <c r="D113" i="242"/>
  <c r="O116" i="242" l="1"/>
  <c r="S115" i="242"/>
  <c r="L114" i="242"/>
  <c r="R113" i="242"/>
  <c r="C112" i="242"/>
  <c r="D114" i="242"/>
  <c r="E117" i="242"/>
  <c r="S116" i="242" l="1"/>
  <c r="O117" i="242"/>
  <c r="L115" i="242"/>
  <c r="R114" i="242"/>
  <c r="E118" i="242"/>
  <c r="C113" i="242"/>
  <c r="D115" i="242"/>
  <c r="O118" i="242" l="1"/>
  <c r="S117" i="242"/>
  <c r="L116" i="242"/>
  <c r="R115" i="242"/>
  <c r="E119" i="242"/>
  <c r="C114" i="242"/>
  <c r="D116" i="242"/>
  <c r="O119" i="242" l="1"/>
  <c r="S118" i="242"/>
  <c r="L117" i="242"/>
  <c r="R116" i="242"/>
  <c r="C115" i="242"/>
  <c r="D117" i="242"/>
  <c r="E120" i="242"/>
  <c r="S119" i="242" l="1"/>
  <c r="O120" i="242"/>
  <c r="L118" i="242"/>
  <c r="R117" i="242"/>
  <c r="E121" i="242"/>
  <c r="C116" i="242"/>
  <c r="D118" i="242"/>
  <c r="O121" i="242" l="1"/>
  <c r="S120" i="242"/>
  <c r="L119" i="242"/>
  <c r="R118" i="242"/>
  <c r="E122" i="242"/>
  <c r="C117" i="242"/>
  <c r="D119" i="242"/>
  <c r="S121" i="242" l="1"/>
  <c r="O122" i="242"/>
  <c r="L120" i="242"/>
  <c r="R119" i="242"/>
  <c r="C118" i="242"/>
  <c r="D120" i="242"/>
  <c r="E123" i="242"/>
  <c r="O123" i="242" l="1"/>
  <c r="S122" i="242"/>
  <c r="L121" i="242"/>
  <c r="R120" i="242"/>
  <c r="E124" i="242"/>
  <c r="C119" i="242"/>
  <c r="D121" i="242"/>
  <c r="O124" i="242" l="1"/>
  <c r="S123" i="242"/>
  <c r="S7" i="242" s="1"/>
  <c r="L122" i="242"/>
  <c r="R121" i="242"/>
  <c r="C120" i="242"/>
  <c r="D122" i="242"/>
  <c r="L123" i="242" l="1"/>
  <c r="R122" i="242"/>
  <c r="C121" i="242"/>
  <c r="D123" i="242"/>
  <c r="L124" i="242" l="1"/>
  <c r="R123" i="242"/>
  <c r="C122" i="242"/>
  <c r="D124" i="242"/>
  <c r="R124" i="242" l="1"/>
  <c r="R7" i="242" s="1"/>
  <c r="C123" i="242"/>
  <c r="C124" i="242"/>
  <c r="B5" i="226" l="1"/>
  <c r="H7" i="208"/>
  <c r="H8" i="208"/>
  <c r="H9" i="208"/>
  <c r="H6" i="208"/>
  <c r="D7" i="208"/>
  <c r="E7" i="208"/>
  <c r="F7" i="208"/>
  <c r="G7" i="208"/>
  <c r="D8" i="208"/>
  <c r="E8" i="208"/>
  <c r="F8" i="208"/>
  <c r="G8" i="208"/>
  <c r="D9" i="208"/>
  <c r="E9" i="208"/>
  <c r="F9" i="208"/>
  <c r="G9" i="208"/>
  <c r="G6" i="208"/>
  <c r="F6" i="208"/>
  <c r="E6" i="208"/>
  <c r="C7" i="208"/>
  <c r="B13" i="226" s="1"/>
  <c r="C8" i="208"/>
  <c r="B14" i="226" s="1"/>
  <c r="C9" i="208"/>
  <c r="B15" i="226" s="1"/>
  <c r="C6" i="208"/>
  <c r="B12" i="226" s="1"/>
  <c r="J7" i="208"/>
  <c r="J9" i="208" l="1"/>
  <c r="K9" i="208"/>
  <c r="F15" i="226" s="1"/>
  <c r="L10" i="228" l="1"/>
  <c r="I33" i="228" s="1"/>
  <c r="B5" i="228"/>
  <c r="B5" i="214"/>
  <c r="A13" i="228"/>
  <c r="A14" i="228"/>
  <c r="A15" i="228"/>
  <c r="A16" i="228"/>
  <c r="A17" i="228"/>
  <c r="A18" i="228"/>
  <c r="A19" i="228"/>
  <c r="A12" i="228"/>
  <c r="O20" i="207"/>
  <c r="O21" i="207"/>
  <c r="O22" i="207"/>
  <c r="O23" i="207"/>
  <c r="O24" i="207"/>
  <c r="O25" i="207"/>
  <c r="O26" i="207"/>
  <c r="O27" i="207"/>
  <c r="O28" i="207"/>
  <c r="O29" i="207"/>
  <c r="O30" i="207"/>
  <c r="O31" i="207"/>
  <c r="O32" i="207"/>
  <c r="O6" i="207"/>
  <c r="O7" i="207"/>
  <c r="O8" i="207"/>
  <c r="O9" i="207"/>
  <c r="O10" i="207"/>
  <c r="O11" i="207"/>
  <c r="O12" i="207"/>
  <c r="O13" i="207"/>
  <c r="H21" i="207" l="1"/>
  <c r="H22" i="207"/>
  <c r="H23" i="207"/>
  <c r="H24" i="207"/>
  <c r="H25" i="207"/>
  <c r="H26" i="207"/>
  <c r="H27" i="207"/>
  <c r="H28" i="207"/>
  <c r="H29" i="207"/>
  <c r="H30" i="207"/>
  <c r="H31" i="207"/>
  <c r="H32" i="207"/>
  <c r="I20" i="207"/>
  <c r="H20" i="207"/>
  <c r="H7" i="207"/>
  <c r="I7" i="207"/>
  <c r="H8" i="207"/>
  <c r="I8" i="207"/>
  <c r="H9" i="207"/>
  <c r="I9" i="207"/>
  <c r="H10" i="207"/>
  <c r="H11" i="207"/>
  <c r="H12" i="207"/>
  <c r="H13" i="207"/>
  <c r="H6" i="207"/>
  <c r="I12" i="228" s="1"/>
  <c r="F21" i="207"/>
  <c r="C13" i="214" s="1"/>
  <c r="G21" i="207"/>
  <c r="D13" i="214" s="1"/>
  <c r="F22" i="207"/>
  <c r="C14" i="214" s="1"/>
  <c r="G22" i="207"/>
  <c r="D14" i="214" s="1"/>
  <c r="F23" i="207"/>
  <c r="C15" i="214" s="1"/>
  <c r="G23" i="207"/>
  <c r="D15" i="214" s="1"/>
  <c r="F24" i="207"/>
  <c r="C16" i="214" s="1"/>
  <c r="G24" i="207"/>
  <c r="D16" i="214" s="1"/>
  <c r="F25" i="207"/>
  <c r="C17" i="214" s="1"/>
  <c r="G25" i="207"/>
  <c r="D17" i="214" s="1"/>
  <c r="F26" i="207"/>
  <c r="C18" i="214" s="1"/>
  <c r="G26" i="207"/>
  <c r="D18" i="214" s="1"/>
  <c r="F27" i="207"/>
  <c r="C19" i="214" s="1"/>
  <c r="G27" i="207"/>
  <c r="D19" i="214" s="1"/>
  <c r="F28" i="207"/>
  <c r="C20" i="214" s="1"/>
  <c r="G28" i="207"/>
  <c r="D20" i="214" s="1"/>
  <c r="F29" i="207"/>
  <c r="C21" i="214" s="1"/>
  <c r="G29" i="207"/>
  <c r="D21" i="214" s="1"/>
  <c r="F30" i="207"/>
  <c r="C22" i="214" s="1"/>
  <c r="G30" i="207"/>
  <c r="D22" i="214" s="1"/>
  <c r="F31" i="207"/>
  <c r="C23" i="214" s="1"/>
  <c r="G31" i="207"/>
  <c r="D23" i="214" s="1"/>
  <c r="F32" i="207"/>
  <c r="C24" i="214" s="1"/>
  <c r="G32" i="207"/>
  <c r="D24" i="214" s="1"/>
  <c r="G20" i="207"/>
  <c r="D12" i="214" s="1"/>
  <c r="F20" i="207"/>
  <c r="C12" i="214" s="1"/>
  <c r="F7" i="207"/>
  <c r="C13" i="228" s="1"/>
  <c r="G7" i="207"/>
  <c r="D13" i="228" s="1"/>
  <c r="F8" i="207"/>
  <c r="C14" i="228" s="1"/>
  <c r="G8" i="207"/>
  <c r="D14" i="228" s="1"/>
  <c r="F9" i="207"/>
  <c r="C15" i="228" s="1"/>
  <c r="G9" i="207"/>
  <c r="D15" i="228" s="1"/>
  <c r="F10" i="207"/>
  <c r="C16" i="228" s="1"/>
  <c r="G10" i="207"/>
  <c r="D16" i="228" s="1"/>
  <c r="F11" i="207"/>
  <c r="C17" i="228" s="1"/>
  <c r="G11" i="207"/>
  <c r="D17" i="228" s="1"/>
  <c r="F12" i="207"/>
  <c r="C18" i="228" s="1"/>
  <c r="G12" i="207"/>
  <c r="D18" i="228" s="1"/>
  <c r="F13" i="207"/>
  <c r="C19" i="228" s="1"/>
  <c r="G13" i="207"/>
  <c r="D19" i="228" s="1"/>
  <c r="G6" i="207"/>
  <c r="D12" i="228" s="1"/>
  <c r="F6" i="207"/>
  <c r="C12" i="228" s="1"/>
  <c r="E21" i="207"/>
  <c r="E22" i="207"/>
  <c r="E23" i="207"/>
  <c r="E24" i="207"/>
  <c r="E25" i="207"/>
  <c r="E26" i="207"/>
  <c r="E27" i="207"/>
  <c r="E28" i="207"/>
  <c r="E29" i="207"/>
  <c r="E30" i="207"/>
  <c r="E31" i="207"/>
  <c r="E32" i="207"/>
  <c r="E20" i="207"/>
  <c r="E7" i="207"/>
  <c r="E8" i="207"/>
  <c r="E9" i="207"/>
  <c r="E10" i="207"/>
  <c r="E11" i="207"/>
  <c r="E12" i="207"/>
  <c r="E13" i="207"/>
  <c r="E6" i="207"/>
  <c r="D21" i="207"/>
  <c r="D22" i="207"/>
  <c r="D23" i="207"/>
  <c r="D24" i="207"/>
  <c r="D25" i="207"/>
  <c r="D26" i="207"/>
  <c r="D27" i="207"/>
  <c r="D28" i="207"/>
  <c r="D29" i="207"/>
  <c r="D30" i="207"/>
  <c r="D31" i="207"/>
  <c r="D32" i="207"/>
  <c r="D20" i="207"/>
  <c r="D7" i="207"/>
  <c r="D8" i="207"/>
  <c r="D9" i="207"/>
  <c r="D10" i="207"/>
  <c r="D11" i="207"/>
  <c r="D12" i="207"/>
  <c r="D13" i="207"/>
  <c r="D6" i="207"/>
  <c r="B12" i="228"/>
  <c r="C21" i="207"/>
  <c r="B13" i="214" s="1"/>
  <c r="C22" i="207"/>
  <c r="B14" i="214" s="1"/>
  <c r="C23" i="207"/>
  <c r="B15" i="214" s="1"/>
  <c r="C24" i="207"/>
  <c r="B16" i="214" s="1"/>
  <c r="C25" i="207"/>
  <c r="B17" i="214" s="1"/>
  <c r="C26" i="207"/>
  <c r="B18" i="214" s="1"/>
  <c r="C27" i="207"/>
  <c r="B19" i="214" s="1"/>
  <c r="C28" i="207"/>
  <c r="B20" i="214" s="1"/>
  <c r="C29" i="207"/>
  <c r="B21" i="214" s="1"/>
  <c r="C30" i="207"/>
  <c r="B22" i="214" s="1"/>
  <c r="C31" i="207"/>
  <c r="B23" i="214" s="1"/>
  <c r="C32" i="207"/>
  <c r="B24" i="214" s="1"/>
  <c r="C20" i="207"/>
  <c r="B12" i="214" s="1"/>
  <c r="C13" i="207"/>
  <c r="B19" i="228" s="1"/>
  <c r="C7" i="207"/>
  <c r="B13" i="228" s="1"/>
  <c r="C8" i="207"/>
  <c r="B14" i="228" s="1"/>
  <c r="C9" i="207"/>
  <c r="B15" i="228" s="1"/>
  <c r="C10" i="207"/>
  <c r="B16" i="228" s="1"/>
  <c r="C11" i="207"/>
  <c r="B17" i="228" s="1"/>
  <c r="C12" i="207"/>
  <c r="B18" i="228" s="1"/>
  <c r="L23" i="214" l="1"/>
  <c r="D33" i="221" s="1"/>
  <c r="AD23" i="214"/>
  <c r="V33" i="221" s="1"/>
  <c r="AT23" i="214"/>
  <c r="BJ23" i="214"/>
  <c r="BO23" i="214"/>
  <c r="M23" i="214"/>
  <c r="E33" i="221" s="1"/>
  <c r="AE23" i="214"/>
  <c r="W33" i="221" s="1"/>
  <c r="AU23" i="214"/>
  <c r="BK23" i="214"/>
  <c r="N23" i="214"/>
  <c r="F33" i="221" s="1"/>
  <c r="AF23" i="214"/>
  <c r="X33" i="221" s="1"/>
  <c r="AV23" i="214"/>
  <c r="BL23" i="214"/>
  <c r="Q23" i="214"/>
  <c r="I33" i="221" s="1"/>
  <c r="O23" i="214"/>
  <c r="G33" i="221" s="1"/>
  <c r="AG23" i="214"/>
  <c r="Y33" i="221" s="1"/>
  <c r="AW23" i="214"/>
  <c r="BM23" i="214"/>
  <c r="AI23" i="214"/>
  <c r="AA33" i="221" s="1"/>
  <c r="P23" i="214"/>
  <c r="H33" i="221" s="1"/>
  <c r="AH23" i="214"/>
  <c r="Z33" i="221" s="1"/>
  <c r="AX23" i="214"/>
  <c r="BN23" i="214"/>
  <c r="AY23" i="214"/>
  <c r="R23" i="214"/>
  <c r="J33" i="221" s="1"/>
  <c r="AJ23" i="214"/>
  <c r="AB33" i="221" s="1"/>
  <c r="AZ23" i="214"/>
  <c r="BP23" i="214"/>
  <c r="S23" i="214"/>
  <c r="K33" i="221" s="1"/>
  <c r="AK23" i="214"/>
  <c r="AC33" i="221" s="1"/>
  <c r="BA23" i="214"/>
  <c r="BQ23" i="214"/>
  <c r="V23" i="214"/>
  <c r="N33" i="221" s="1"/>
  <c r="BB23" i="214"/>
  <c r="AA23" i="214"/>
  <c r="S33" i="221" s="1"/>
  <c r="AO23" i="214"/>
  <c r="W23" i="214"/>
  <c r="O33" i="221" s="1"/>
  <c r="BC23" i="214"/>
  <c r="X23" i="214"/>
  <c r="P33" i="221" s="1"/>
  <c r="BD23" i="214"/>
  <c r="BG23" i="214"/>
  <c r="BR23" i="214"/>
  <c r="AS23" i="214"/>
  <c r="Y23" i="214"/>
  <c r="Q33" i="221" s="1"/>
  <c r="BE23" i="214"/>
  <c r="AL23" i="214"/>
  <c r="AD33" i="221" s="1"/>
  <c r="AM23" i="214"/>
  <c r="AE33" i="221" s="1"/>
  <c r="Z23" i="214"/>
  <c r="R33" i="221" s="1"/>
  <c r="BF23" i="214"/>
  <c r="AC23" i="214"/>
  <c r="U33" i="221" s="1"/>
  <c r="BI23" i="214"/>
  <c r="BS23" i="214"/>
  <c r="AP23" i="214"/>
  <c r="AQ23" i="214"/>
  <c r="AB23" i="214"/>
  <c r="T33" i="221" s="1"/>
  <c r="BH23" i="214"/>
  <c r="AN23" i="214"/>
  <c r="AR23" i="214"/>
  <c r="R24" i="214"/>
  <c r="J31" i="221" s="1"/>
  <c r="AJ24" i="214"/>
  <c r="AB31" i="221" s="1"/>
  <c r="AZ24" i="214"/>
  <c r="BP24" i="214"/>
  <c r="U24" i="214"/>
  <c r="M31" i="221" s="1"/>
  <c r="AK24" i="214"/>
  <c r="AC31" i="221" s="1"/>
  <c r="BA24" i="214"/>
  <c r="BQ24" i="214"/>
  <c r="Y24" i="214"/>
  <c r="Q31" i="221" s="1"/>
  <c r="V24" i="214"/>
  <c r="N31" i="221" s="1"/>
  <c r="AL24" i="214"/>
  <c r="AD31" i="221" s="1"/>
  <c r="BB24" i="214"/>
  <c r="BR24" i="214"/>
  <c r="W24" i="214"/>
  <c r="O31" i="221" s="1"/>
  <c r="AM24" i="214"/>
  <c r="AE31" i="221" s="1"/>
  <c r="BC24" i="214"/>
  <c r="BS24" i="214"/>
  <c r="AO24" i="214"/>
  <c r="BE24" i="214"/>
  <c r="X24" i="214"/>
  <c r="P31" i="221" s="1"/>
  <c r="AN24" i="214"/>
  <c r="BD24" i="214"/>
  <c r="Z24" i="214"/>
  <c r="R31" i="221" s="1"/>
  <c r="AP24" i="214"/>
  <c r="BF24" i="214"/>
  <c r="AA24" i="214"/>
  <c r="S31" i="221" s="1"/>
  <c r="AQ24" i="214"/>
  <c r="BG24" i="214"/>
  <c r="AB24" i="214"/>
  <c r="T31" i="221" s="1"/>
  <c r="BH24" i="214"/>
  <c r="AS24" i="214"/>
  <c r="AT24" i="214"/>
  <c r="Q24" i="214"/>
  <c r="I31" i="221" s="1"/>
  <c r="AC24" i="214"/>
  <c r="U31" i="221" s="1"/>
  <c r="BI24" i="214"/>
  <c r="BM24" i="214"/>
  <c r="N24" i="214"/>
  <c r="F31" i="221" s="1"/>
  <c r="AY24" i="214"/>
  <c r="AD24" i="214"/>
  <c r="V31" i="221" s="1"/>
  <c r="BJ24" i="214"/>
  <c r="L24" i="214"/>
  <c r="D31" i="221" s="1"/>
  <c r="O24" i="214"/>
  <c r="G31" i="221" s="1"/>
  <c r="AX24" i="214"/>
  <c r="AE24" i="214"/>
  <c r="W31" i="221" s="1"/>
  <c r="BK24" i="214"/>
  <c r="AG24" i="214"/>
  <c r="Y31" i="221" s="1"/>
  <c r="P24" i="214"/>
  <c r="H31" i="221" s="1"/>
  <c r="AF24" i="214"/>
  <c r="X31" i="221" s="1"/>
  <c r="BL24" i="214"/>
  <c r="AI24" i="214"/>
  <c r="AA31" i="221" s="1"/>
  <c r="BO24" i="214"/>
  <c r="AR24" i="214"/>
  <c r="M24" i="214"/>
  <c r="E31" i="221" s="1"/>
  <c r="AH24" i="214"/>
  <c r="Z31" i="221" s="1"/>
  <c r="BN24" i="214"/>
  <c r="AU24" i="214"/>
  <c r="AV24" i="214"/>
  <c r="AW24" i="214"/>
  <c r="E24" i="214"/>
  <c r="E12" i="228"/>
  <c r="N6" i="207"/>
  <c r="P32" i="207" l="1"/>
  <c r="F24" i="214" s="1"/>
  <c r="H24" i="214" s="1"/>
  <c r="K24" i="214" s="1"/>
  <c r="P31" i="207"/>
  <c r="F23" i="214" s="1"/>
  <c r="P27" i="207"/>
  <c r="F19" i="214" s="1"/>
  <c r="P22" i="207"/>
  <c r="F14" i="214" s="1"/>
  <c r="P20" i="207"/>
  <c r="F12" i="214" l="1"/>
  <c r="S24" i="214"/>
  <c r="K31" i="221" s="1"/>
  <c r="T24" i="214"/>
  <c r="L31" i="221" s="1"/>
  <c r="P30" i="207"/>
  <c r="F22" i="214" s="1"/>
  <c r="P25" i="207"/>
  <c r="F17" i="214" s="1"/>
  <c r="P28" i="207"/>
  <c r="F20" i="214" s="1"/>
  <c r="P23" i="207"/>
  <c r="F15" i="214" s="1"/>
  <c r="P29" i="207"/>
  <c r="F21" i="214" s="1"/>
  <c r="P26" i="207"/>
  <c r="F18" i="214" s="1"/>
  <c r="P24" i="207"/>
  <c r="F16" i="214" s="1"/>
  <c r="K7" i="208"/>
  <c r="F13" i="226" s="1"/>
  <c r="I6" i="208"/>
  <c r="I7" i="208"/>
  <c r="I8" i="208"/>
  <c r="I9" i="208"/>
  <c r="I6" i="207"/>
  <c r="I10" i="207"/>
  <c r="I11" i="207"/>
  <c r="I12" i="207"/>
  <c r="I13" i="207"/>
  <c r="I21" i="207"/>
  <c r="I22" i="207"/>
  <c r="I25" i="207"/>
  <c r="I28" i="207"/>
  <c r="I31" i="207"/>
  <c r="I32" i="207"/>
  <c r="P42" i="207" l="1"/>
  <c r="AF31" i="221"/>
  <c r="BT24" i="214"/>
  <c r="I24" i="207"/>
  <c r="I23" i="207"/>
  <c r="I26" i="207"/>
  <c r="I27" i="207"/>
  <c r="I30" i="207"/>
  <c r="I29" i="207"/>
  <c r="K8" i="208"/>
  <c r="F14" i="226" s="1"/>
  <c r="J8" i="208"/>
  <c r="J6" i="208"/>
  <c r="K6" i="208"/>
  <c r="J12" i="207"/>
  <c r="J28" i="207"/>
  <c r="J13" i="207"/>
  <c r="J25" i="207"/>
  <c r="J10" i="207"/>
  <c r="L7" i="208"/>
  <c r="M7" i="208"/>
  <c r="J32" i="207"/>
  <c r="J22" i="207"/>
  <c r="J27" i="207"/>
  <c r="J11" i="207"/>
  <c r="L9" i="208"/>
  <c r="M9" i="208"/>
  <c r="J26" i="207"/>
  <c r="J6" i="207"/>
  <c r="J29" i="207"/>
  <c r="J31" i="207"/>
  <c r="J21" i="207"/>
  <c r="J30" i="207"/>
  <c r="J24" i="207"/>
  <c r="F12" i="226" l="1"/>
  <c r="J10" i="208"/>
  <c r="M6" i="208"/>
  <c r="L6" i="208"/>
  <c r="L8" i="208"/>
  <c r="M8" i="208"/>
  <c r="K22" i="207"/>
  <c r="J7" i="207"/>
  <c r="L32" i="207"/>
  <c r="M32" i="207"/>
  <c r="K32" i="207"/>
  <c r="K10" i="207"/>
  <c r="F16" i="228" s="1"/>
  <c r="L10" i="207"/>
  <c r="M10" i="207"/>
  <c r="K27" i="207"/>
  <c r="K30" i="207"/>
  <c r="M21" i="207"/>
  <c r="L21" i="207"/>
  <c r="K21" i="207"/>
  <c r="J23" i="207"/>
  <c r="K24" i="207"/>
  <c r="K25" i="207"/>
  <c r="M13" i="207"/>
  <c r="K13" i="207"/>
  <c r="F19" i="228" s="1"/>
  <c r="L13" i="207"/>
  <c r="K11" i="207"/>
  <c r="F17" i="228" s="1"/>
  <c r="L11" i="207"/>
  <c r="M11" i="207"/>
  <c r="M31" i="207"/>
  <c r="L31" i="207"/>
  <c r="K31" i="207"/>
  <c r="K29" i="207"/>
  <c r="M6" i="207"/>
  <c r="K6" i="207"/>
  <c r="K12" i="207"/>
  <c r="F18" i="228" s="1"/>
  <c r="M12" i="207"/>
  <c r="K28" i="207"/>
  <c r="K26" i="207"/>
  <c r="J9" i="207"/>
  <c r="L28" i="207" l="1"/>
  <c r="M26" i="207"/>
  <c r="L26" i="207"/>
  <c r="M28" i="207"/>
  <c r="L22" i="207"/>
  <c r="L30" i="207"/>
  <c r="M30" i="207"/>
  <c r="L27" i="207"/>
  <c r="M27" i="207"/>
  <c r="M25" i="207"/>
  <c r="M29" i="207"/>
  <c r="M22" i="207"/>
  <c r="L29" i="207"/>
  <c r="L25" i="207"/>
  <c r="L6" i="207"/>
  <c r="L12" i="207"/>
  <c r="J20" i="207"/>
  <c r="F12" i="228"/>
  <c r="H12" i="228" s="1"/>
  <c r="K12" i="228" s="1"/>
  <c r="J8" i="207"/>
  <c r="J14" i="207" s="1"/>
  <c r="K7" i="207"/>
  <c r="F13" i="228" s="1"/>
  <c r="L7" i="207"/>
  <c r="M7" i="207"/>
  <c r="K9" i="207"/>
  <c r="F15" i="228" s="1"/>
  <c r="L9" i="207"/>
  <c r="M9" i="207"/>
  <c r="L23" i="207"/>
  <c r="M23" i="207"/>
  <c r="K23" i="207"/>
  <c r="K10" i="208" l="1"/>
  <c r="L24" i="207"/>
  <c r="M24" i="207"/>
  <c r="K8" i="207"/>
  <c r="M8" i="207"/>
  <c r="M14" i="207" s="1"/>
  <c r="M20" i="207"/>
  <c r="K20" i="207"/>
  <c r="L20" i="207" l="1"/>
  <c r="F14" i="228"/>
  <c r="F20" i="228" s="1"/>
  <c r="L8" i="207"/>
  <c r="L14" i="207" s="1"/>
  <c r="B36" i="228" l="1"/>
  <c r="B37" i="228" s="1"/>
  <c r="B38" i="228" s="1"/>
  <c r="K35" i="228"/>
  <c r="M35" i="228" s="1"/>
  <c r="M32" i="228"/>
  <c r="L32" i="228"/>
  <c r="I38" i="228"/>
  <c r="I19" i="228"/>
  <c r="J19" i="228" s="1"/>
  <c r="I18" i="228"/>
  <c r="J18" i="228" s="1"/>
  <c r="I17" i="228"/>
  <c r="J17" i="228" s="1"/>
  <c r="I14" i="228"/>
  <c r="J14" i="228" s="1"/>
  <c r="I13" i="228"/>
  <c r="J13" i="228" s="1"/>
  <c r="J12" i="228"/>
  <c r="N9" i="228"/>
  <c r="O9" i="228" s="1"/>
  <c r="P9" i="228" s="1"/>
  <c r="Q9" i="228" s="1"/>
  <c r="R9" i="228" s="1"/>
  <c r="S9" i="228" s="1"/>
  <c r="T9" i="228" s="1"/>
  <c r="U9" i="228" s="1"/>
  <c r="V9" i="228" s="1"/>
  <c r="W9" i="228" s="1"/>
  <c r="X9" i="228" s="1"/>
  <c r="Y9" i="228" s="1"/>
  <c r="Z9" i="228" s="1"/>
  <c r="AA9" i="228" s="1"/>
  <c r="AB9" i="228" s="1"/>
  <c r="AC9" i="228" s="1"/>
  <c r="AD9" i="228" s="1"/>
  <c r="AE9" i="228" s="1"/>
  <c r="AF9" i="228" s="1"/>
  <c r="AG9" i="228" s="1"/>
  <c r="AH9" i="228" s="1"/>
  <c r="AI9" i="228" s="1"/>
  <c r="AJ9" i="228" s="1"/>
  <c r="AK9" i="228" s="1"/>
  <c r="AL9" i="228" s="1"/>
  <c r="AM9" i="228" s="1"/>
  <c r="AN9" i="228" s="1"/>
  <c r="AO9" i="228" s="1"/>
  <c r="AP9" i="228" s="1"/>
  <c r="AQ9" i="228" s="1"/>
  <c r="AR9" i="228" s="1"/>
  <c r="AS9" i="228" s="1"/>
  <c r="AT9" i="228" s="1"/>
  <c r="AU9" i="228" s="1"/>
  <c r="AV9" i="228" s="1"/>
  <c r="AW9" i="228" s="1"/>
  <c r="AX9" i="228" s="1"/>
  <c r="AY9" i="228" s="1"/>
  <c r="AZ9" i="228" s="1"/>
  <c r="BA9" i="228" s="1"/>
  <c r="BB9" i="228" s="1"/>
  <c r="BC9" i="228" s="1"/>
  <c r="BD9" i="228" s="1"/>
  <c r="BE9" i="228" s="1"/>
  <c r="BF9" i="228" s="1"/>
  <c r="BG9" i="228" s="1"/>
  <c r="BH9" i="228" s="1"/>
  <c r="BI9" i="228" s="1"/>
  <c r="BJ9" i="228" s="1"/>
  <c r="BK9" i="228" s="1"/>
  <c r="BL9" i="228" s="1"/>
  <c r="BM9" i="228" s="1"/>
  <c r="BN9" i="228" s="1"/>
  <c r="BO9" i="228" s="1"/>
  <c r="BP9" i="228" s="1"/>
  <c r="BQ9" i="228" s="1"/>
  <c r="BR9" i="228" s="1"/>
  <c r="BS9" i="228" s="1"/>
  <c r="G10" i="228"/>
  <c r="I48" i="214"/>
  <c r="I12" i="226"/>
  <c r="J12" i="226" s="1"/>
  <c r="I13" i="226"/>
  <c r="J13" i="226" s="1"/>
  <c r="I14" i="226"/>
  <c r="J14" i="226" s="1"/>
  <c r="I15" i="226"/>
  <c r="J15" i="226" s="1"/>
  <c r="H12" i="226"/>
  <c r="H15" i="226"/>
  <c r="D12" i="226"/>
  <c r="D13" i="226"/>
  <c r="D14" i="226"/>
  <c r="D15" i="226"/>
  <c r="C12" i="226"/>
  <c r="C13" i="226"/>
  <c r="C14" i="226"/>
  <c r="C15" i="226"/>
  <c r="B38" i="226"/>
  <c r="M32" i="226"/>
  <c r="L32" i="226"/>
  <c r="I40" i="226"/>
  <c r="L10" i="226"/>
  <c r="I33" i="226" s="1"/>
  <c r="N9" i="226"/>
  <c r="O9" i="226" s="1"/>
  <c r="P9" i="226" s="1"/>
  <c r="Q9" i="226" s="1"/>
  <c r="R9" i="226" s="1"/>
  <c r="S9" i="226" s="1"/>
  <c r="T9" i="226" s="1"/>
  <c r="U9" i="226" s="1"/>
  <c r="V9" i="226" s="1"/>
  <c r="W9" i="226" s="1"/>
  <c r="X9" i="226" s="1"/>
  <c r="Y9" i="226" s="1"/>
  <c r="Z9" i="226" s="1"/>
  <c r="AA9" i="226" s="1"/>
  <c r="AB9" i="226" s="1"/>
  <c r="AC9" i="226" s="1"/>
  <c r="AD9" i="226" s="1"/>
  <c r="AE9" i="226" s="1"/>
  <c r="AF9" i="226" s="1"/>
  <c r="AG9" i="226" s="1"/>
  <c r="AH9" i="226" s="1"/>
  <c r="AI9" i="226" s="1"/>
  <c r="AJ9" i="226" s="1"/>
  <c r="AK9" i="226" s="1"/>
  <c r="AL9" i="226" s="1"/>
  <c r="AM9" i="226" s="1"/>
  <c r="AN9" i="226" s="1"/>
  <c r="AO9" i="226" s="1"/>
  <c r="AP9" i="226" s="1"/>
  <c r="AQ9" i="226" s="1"/>
  <c r="AR9" i="226" s="1"/>
  <c r="AS9" i="226" s="1"/>
  <c r="AT9" i="226" s="1"/>
  <c r="AU9" i="226" s="1"/>
  <c r="AV9" i="226" s="1"/>
  <c r="AW9" i="226" s="1"/>
  <c r="AX9" i="226" s="1"/>
  <c r="AY9" i="226" s="1"/>
  <c r="AZ9" i="226" s="1"/>
  <c r="BA9" i="226" s="1"/>
  <c r="BB9" i="226" s="1"/>
  <c r="BC9" i="226" s="1"/>
  <c r="BD9" i="226" s="1"/>
  <c r="BE9" i="226" s="1"/>
  <c r="BF9" i="226" s="1"/>
  <c r="BG9" i="226" s="1"/>
  <c r="BH9" i="226" s="1"/>
  <c r="BI9" i="226" s="1"/>
  <c r="BJ9" i="226" s="1"/>
  <c r="BK9" i="226" s="1"/>
  <c r="BL9" i="226" s="1"/>
  <c r="BM9" i="226" s="1"/>
  <c r="BN9" i="226" s="1"/>
  <c r="BO9" i="226" s="1"/>
  <c r="BP9" i="226" s="1"/>
  <c r="BQ9" i="226" s="1"/>
  <c r="BR9" i="226" s="1"/>
  <c r="BS9" i="226" s="1"/>
  <c r="K10" i="226"/>
  <c r="J38" i="228" l="1"/>
  <c r="J40" i="226"/>
  <c r="D8" i="217"/>
  <c r="K12" i="226"/>
  <c r="B39" i="226"/>
  <c r="F10" i="228"/>
  <c r="E15" i="226"/>
  <c r="E12" i="226"/>
  <c r="L14" i="226"/>
  <c r="M10" i="228"/>
  <c r="M17" i="228" s="1"/>
  <c r="L13" i="226"/>
  <c r="L35" i="228"/>
  <c r="N35" i="228" s="1"/>
  <c r="E13" i="228"/>
  <c r="B39" i="228"/>
  <c r="L17" i="228"/>
  <c r="E17" i="228"/>
  <c r="I15" i="228"/>
  <c r="J15" i="228" s="1"/>
  <c r="E15" i="228"/>
  <c r="E14" i="228"/>
  <c r="H10" i="228"/>
  <c r="K10" i="228"/>
  <c r="I16" i="228"/>
  <c r="J16" i="228" s="1"/>
  <c r="L14" i="228"/>
  <c r="E19" i="228"/>
  <c r="E14" i="226"/>
  <c r="M10" i="226"/>
  <c r="E13" i="226"/>
  <c r="K15" i="226"/>
  <c r="F10" i="226"/>
  <c r="G10" i="226"/>
  <c r="H10" i="226"/>
  <c r="L15" i="226" l="1"/>
  <c r="B40" i="226"/>
  <c r="D40" i="226"/>
  <c r="L12" i="226"/>
  <c r="N10" i="228"/>
  <c r="N18" i="228" s="1"/>
  <c r="L19" i="228"/>
  <c r="E16" i="228"/>
  <c r="E18" i="228"/>
  <c r="L18" i="228"/>
  <c r="M18" i="228"/>
  <c r="B40" i="228"/>
  <c r="M15" i="228"/>
  <c r="M19" i="228"/>
  <c r="L15" i="228"/>
  <c r="N10" i="226"/>
  <c r="B41" i="226"/>
  <c r="E41" i="226" l="1"/>
  <c r="E40" i="226"/>
  <c r="D6" i="217"/>
  <c r="N17" i="228"/>
  <c r="N15" i="228"/>
  <c r="O10" i="228"/>
  <c r="O12" i="228" s="1"/>
  <c r="N19" i="228"/>
  <c r="N11" i="228"/>
  <c r="B41" i="228"/>
  <c r="O10" i="226"/>
  <c r="N11" i="226"/>
  <c r="N12" i="226"/>
  <c r="B42" i="226"/>
  <c r="E42" i="226" l="1"/>
  <c r="O19" i="228"/>
  <c r="P10" i="228"/>
  <c r="P13" i="228" s="1"/>
  <c r="O15" i="228"/>
  <c r="O17" i="228"/>
  <c r="O18" i="228"/>
  <c r="B42" i="228"/>
  <c r="P10" i="226"/>
  <c r="O12" i="226"/>
  <c r="B43" i="226"/>
  <c r="E43" i="226" l="1"/>
  <c r="P19" i="228"/>
  <c r="Q10" i="228"/>
  <c r="Q19" i="228" s="1"/>
  <c r="P16" i="228"/>
  <c r="P12" i="228"/>
  <c r="P17" i="228"/>
  <c r="P15" i="228"/>
  <c r="P18" i="228"/>
  <c r="B43" i="228"/>
  <c r="Q10" i="226"/>
  <c r="P12" i="226"/>
  <c r="B44" i="226"/>
  <c r="H13" i="226"/>
  <c r="K13" i="226" s="1"/>
  <c r="H14" i="226"/>
  <c r="K14" i="226" s="1"/>
  <c r="H16" i="228"/>
  <c r="K16" i="228" s="1"/>
  <c r="L16" i="228" s="1"/>
  <c r="H17" i="228"/>
  <c r="K17" i="228" s="1"/>
  <c r="H18" i="228"/>
  <c r="K18" i="228" s="1"/>
  <c r="H19" i="228"/>
  <c r="K19" i="228" s="1"/>
  <c r="E44" i="226" l="1"/>
  <c r="Q12" i="228"/>
  <c r="Q14" i="228"/>
  <c r="Q13" i="228"/>
  <c r="R10" i="228"/>
  <c r="S10" i="228" s="1"/>
  <c r="S12" i="228" s="1"/>
  <c r="Q16" i="228"/>
  <c r="L12" i="228"/>
  <c r="Q13" i="226"/>
  <c r="F16" i="226"/>
  <c r="B44" i="228"/>
  <c r="R10" i="226"/>
  <c r="Q12" i="226"/>
  <c r="B45" i="226"/>
  <c r="R13" i="228" l="1"/>
  <c r="R12" i="228"/>
  <c r="S14" i="228"/>
  <c r="S13" i="228"/>
  <c r="R14" i="228"/>
  <c r="R16" i="228"/>
  <c r="E45" i="226"/>
  <c r="S16" i="228"/>
  <c r="T10" i="228"/>
  <c r="U10" i="228" s="1"/>
  <c r="L16" i="226"/>
  <c r="R13" i="226"/>
  <c r="K16" i="226"/>
  <c r="B45" i="228"/>
  <c r="S10" i="226"/>
  <c r="R12" i="226"/>
  <c r="B46" i="226"/>
  <c r="F40" i="226" l="1"/>
  <c r="K40" i="226" s="1"/>
  <c r="T14" i="228"/>
  <c r="T13" i="228"/>
  <c r="T16" i="228"/>
  <c r="T12" i="228"/>
  <c r="E46" i="226"/>
  <c r="S13" i="226"/>
  <c r="S15" i="226"/>
  <c r="B46" i="228"/>
  <c r="U15" i="228"/>
  <c r="U18" i="228"/>
  <c r="U14" i="228"/>
  <c r="U17" i="228"/>
  <c r="U13" i="228"/>
  <c r="V10" i="228"/>
  <c r="U12" i="228"/>
  <c r="U16" i="228"/>
  <c r="S12" i="226"/>
  <c r="T10" i="226"/>
  <c r="B47" i="226"/>
  <c r="E47" i="226" l="1"/>
  <c r="T14" i="226"/>
  <c r="T13" i="226"/>
  <c r="T15" i="226"/>
  <c r="V18" i="228"/>
  <c r="V14" i="228"/>
  <c r="V17" i="228"/>
  <c r="V13" i="228"/>
  <c r="V12" i="228"/>
  <c r="W10" i="228"/>
  <c r="V16" i="228"/>
  <c r="V15" i="228"/>
  <c r="B47" i="228"/>
  <c r="U10" i="226"/>
  <c r="T12" i="226"/>
  <c r="B48" i="226"/>
  <c r="E48" i="226" l="1"/>
  <c r="U14" i="226"/>
  <c r="U13" i="226"/>
  <c r="U15" i="226"/>
  <c r="W18" i="228"/>
  <c r="W14" i="228"/>
  <c r="W17" i="228"/>
  <c r="W13" i="228"/>
  <c r="W15" i="228"/>
  <c r="W16" i="228"/>
  <c r="X10" i="228"/>
  <c r="W12" i="228"/>
  <c r="B48" i="228"/>
  <c r="T16" i="226"/>
  <c r="F48" i="226" s="1"/>
  <c r="U12" i="226"/>
  <c r="V10" i="226"/>
  <c r="B49" i="226"/>
  <c r="E49" i="226" l="1"/>
  <c r="V15" i="226"/>
  <c r="V13" i="226"/>
  <c r="V14" i="226"/>
  <c r="B49" i="228"/>
  <c r="X14" i="228"/>
  <c r="X17" i="228"/>
  <c r="X13" i="228"/>
  <c r="X12" i="228"/>
  <c r="X19" i="228"/>
  <c r="X18" i="228"/>
  <c r="Y10" i="228"/>
  <c r="X15" i="228"/>
  <c r="X16" i="228"/>
  <c r="W10" i="226"/>
  <c r="V12" i="226"/>
  <c r="U16" i="226"/>
  <c r="F49" i="226" s="1"/>
  <c r="B50" i="226"/>
  <c r="E50" i="226" l="1"/>
  <c r="W15" i="226"/>
  <c r="W14" i="226"/>
  <c r="X20" i="228"/>
  <c r="Y14" i="228"/>
  <c r="Y17" i="228"/>
  <c r="Y13" i="228"/>
  <c r="Y19" i="228"/>
  <c r="Y15" i="228"/>
  <c r="Z10" i="228"/>
  <c r="Y16" i="228"/>
  <c r="Y18" i="228"/>
  <c r="Y12" i="228"/>
  <c r="B50" i="228"/>
  <c r="V16" i="226"/>
  <c r="F50" i="226" s="1"/>
  <c r="W12" i="226"/>
  <c r="X10" i="226"/>
  <c r="B51" i="226"/>
  <c r="L42" i="214"/>
  <c r="E51" i="226" l="1"/>
  <c r="X15" i="226"/>
  <c r="X14" i="226"/>
  <c r="Y20" i="228"/>
  <c r="B51" i="228"/>
  <c r="Z14" i="228"/>
  <c r="Z17" i="228"/>
  <c r="Z13" i="228"/>
  <c r="Z16" i="228"/>
  <c r="Z19" i="228"/>
  <c r="Z18" i="228"/>
  <c r="AA10" i="228"/>
  <c r="Z12" i="228"/>
  <c r="Z15" i="228"/>
  <c r="X12" i="226"/>
  <c r="Y10" i="226"/>
  <c r="B52" i="226"/>
  <c r="E52" i="226" l="1"/>
  <c r="Y15" i="226"/>
  <c r="Y14" i="226"/>
  <c r="Z20" i="228"/>
  <c r="F50" i="228" s="1"/>
  <c r="AA17" i="228"/>
  <c r="AA13" i="228"/>
  <c r="AA12" i="228"/>
  <c r="AA14" i="228"/>
  <c r="AA16" i="228"/>
  <c r="AB10" i="228"/>
  <c r="AA18" i="228"/>
  <c r="AA15" i="228"/>
  <c r="AA19" i="228"/>
  <c r="B52" i="228"/>
  <c r="Y12" i="226"/>
  <c r="Z10" i="226"/>
  <c r="B53" i="226"/>
  <c r="E53" i="226" l="1"/>
  <c r="Z15" i="226"/>
  <c r="Z13" i="226"/>
  <c r="Z14" i="226"/>
  <c r="B53" i="228"/>
  <c r="AB17" i="228"/>
  <c r="AB13" i="228"/>
  <c r="AB12" i="228"/>
  <c r="AB19" i="228"/>
  <c r="AC10" i="228"/>
  <c r="AB14" i="228"/>
  <c r="AB18" i="228"/>
  <c r="AB15" i="228"/>
  <c r="AB16" i="228"/>
  <c r="AA20" i="228"/>
  <c r="F51" i="228" s="1"/>
  <c r="AA10" i="226"/>
  <c r="Z12" i="226"/>
  <c r="B54" i="226"/>
  <c r="E54" i="226" l="1"/>
  <c r="AA15" i="226"/>
  <c r="AA14" i="226"/>
  <c r="AA13" i="226"/>
  <c r="AC13" i="228"/>
  <c r="AC16" i="228"/>
  <c r="AC12" i="228"/>
  <c r="AD10" i="228"/>
  <c r="AC15" i="228"/>
  <c r="AC17" i="228"/>
  <c r="AC18" i="228"/>
  <c r="AC14" i="228"/>
  <c r="AC19" i="228"/>
  <c r="AB20" i="228"/>
  <c r="F52" i="228" s="1"/>
  <c r="B54" i="228"/>
  <c r="Z16" i="226"/>
  <c r="F54" i="226" s="1"/>
  <c r="AA12" i="226"/>
  <c r="AB10" i="226"/>
  <c r="B55" i="226"/>
  <c r="E55" i="226" l="1"/>
  <c r="AB13" i="226"/>
  <c r="AB14" i="226"/>
  <c r="AB15" i="226"/>
  <c r="B55" i="228"/>
  <c r="AC20" i="228"/>
  <c r="F53" i="228" s="1"/>
  <c r="AD13" i="228"/>
  <c r="AD12" i="228"/>
  <c r="AD16" i="228"/>
  <c r="AE10" i="228"/>
  <c r="AD15" i="228"/>
  <c r="AD17" i="228"/>
  <c r="AD18" i="228"/>
  <c r="AD14" i="228"/>
  <c r="AD19" i="228"/>
  <c r="AC10" i="226"/>
  <c r="AB12" i="226"/>
  <c r="AA16" i="226"/>
  <c r="F55" i="226" s="1"/>
  <c r="B56" i="226"/>
  <c r="E56" i="226" l="1"/>
  <c r="AC13" i="226"/>
  <c r="AC14" i="226"/>
  <c r="AC15" i="226"/>
  <c r="AD20" i="228"/>
  <c r="F54" i="228" s="1"/>
  <c r="AE13" i="228"/>
  <c r="AE19" i="228"/>
  <c r="AE12" i="228"/>
  <c r="AE16" i="228"/>
  <c r="AF10" i="228"/>
  <c r="AE15" i="228"/>
  <c r="AE18" i="228"/>
  <c r="AE17" i="228"/>
  <c r="AE14" i="228"/>
  <c r="B56" i="228"/>
  <c r="AB16" i="226"/>
  <c r="F56" i="226" s="1"/>
  <c r="AC12" i="226"/>
  <c r="AD10" i="226"/>
  <c r="B57" i="226"/>
  <c r="L10" i="214"/>
  <c r="I43" i="214" l="1"/>
  <c r="E57" i="226"/>
  <c r="AD14" i="226"/>
  <c r="AD13" i="226"/>
  <c r="AD15" i="226"/>
  <c r="B57" i="228"/>
  <c r="AF12" i="228"/>
  <c r="AF16" i="228"/>
  <c r="AF19" i="228"/>
  <c r="AG10" i="228"/>
  <c r="AF13" i="228"/>
  <c r="AF15" i="228"/>
  <c r="AF17" i="228"/>
  <c r="AF18" i="228"/>
  <c r="AF14" i="228"/>
  <c r="AE20" i="228"/>
  <c r="F55" i="228" s="1"/>
  <c r="AE10" i="226"/>
  <c r="AD12" i="226"/>
  <c r="AC16" i="226"/>
  <c r="F57" i="226" s="1"/>
  <c r="B58" i="226"/>
  <c r="A14" i="214"/>
  <c r="A15" i="214"/>
  <c r="A16" i="214"/>
  <c r="A17" i="214"/>
  <c r="A18" i="214"/>
  <c r="A19" i="214"/>
  <c r="A20" i="214"/>
  <c r="A21" i="214"/>
  <c r="A22" i="214"/>
  <c r="A23" i="214"/>
  <c r="A13" i="214"/>
  <c r="A12" i="214"/>
  <c r="B46" i="214"/>
  <c r="N9" i="214"/>
  <c r="O9" i="214" s="1"/>
  <c r="P9" i="214" s="1"/>
  <c r="Q9" i="214" s="1"/>
  <c r="R9" i="214" s="1"/>
  <c r="S9" i="214" s="1"/>
  <c r="T9" i="214" s="1"/>
  <c r="U9" i="214" s="1"/>
  <c r="V9" i="214" s="1"/>
  <c r="W9" i="214" s="1"/>
  <c r="X9" i="214" s="1"/>
  <c r="Y9" i="214" s="1"/>
  <c r="Z9" i="214" s="1"/>
  <c r="AA9" i="214" s="1"/>
  <c r="AB9" i="214" s="1"/>
  <c r="AC9" i="214" s="1"/>
  <c r="AD9" i="214" s="1"/>
  <c r="AE9" i="214" s="1"/>
  <c r="AF9" i="214" s="1"/>
  <c r="AG9" i="214" s="1"/>
  <c r="AH9" i="214" s="1"/>
  <c r="AI9" i="214" s="1"/>
  <c r="AJ9" i="214" s="1"/>
  <c r="AK9" i="214" s="1"/>
  <c r="AL9" i="214" s="1"/>
  <c r="AM9" i="214" s="1"/>
  <c r="AN9" i="214" s="1"/>
  <c r="AO9" i="214" s="1"/>
  <c r="AP9" i="214" s="1"/>
  <c r="AQ9" i="214" s="1"/>
  <c r="AR9" i="214" s="1"/>
  <c r="AS9" i="214" s="1"/>
  <c r="AT9" i="214" s="1"/>
  <c r="AU9" i="214" s="1"/>
  <c r="AV9" i="214" s="1"/>
  <c r="AW9" i="214" s="1"/>
  <c r="AX9" i="214" s="1"/>
  <c r="AY9" i="214" s="1"/>
  <c r="AZ9" i="214" s="1"/>
  <c r="BA9" i="214" s="1"/>
  <c r="BB9" i="214" s="1"/>
  <c r="BC9" i="214" s="1"/>
  <c r="BD9" i="214" s="1"/>
  <c r="BE9" i="214" s="1"/>
  <c r="BF9" i="214" s="1"/>
  <c r="BG9" i="214" s="1"/>
  <c r="BH9" i="214" s="1"/>
  <c r="BI9" i="214" s="1"/>
  <c r="BJ9" i="214" s="1"/>
  <c r="BK9" i="214" s="1"/>
  <c r="BL9" i="214" s="1"/>
  <c r="BM9" i="214" s="1"/>
  <c r="BN9" i="214" s="1"/>
  <c r="BO9" i="214" s="1"/>
  <c r="BP9" i="214" s="1"/>
  <c r="BQ9" i="214" s="1"/>
  <c r="BR9" i="214" s="1"/>
  <c r="BS9" i="214" s="1"/>
  <c r="G10" i="214"/>
  <c r="H15" i="228"/>
  <c r="K15" i="228" s="1"/>
  <c r="H14" i="228"/>
  <c r="K14" i="228" s="1"/>
  <c r="E58" i="226" l="1"/>
  <c r="H12" i="214"/>
  <c r="K12" i="214" s="1"/>
  <c r="AE14" i="226"/>
  <c r="AE13" i="226"/>
  <c r="AE15" i="226"/>
  <c r="AG12" i="228"/>
  <c r="AG16" i="228"/>
  <c r="AG19" i="228"/>
  <c r="AH10" i="228"/>
  <c r="AG18" i="228"/>
  <c r="AG14" i="228"/>
  <c r="AG15" i="228"/>
  <c r="AG17" i="228"/>
  <c r="AG13" i="228"/>
  <c r="AF20" i="228"/>
  <c r="F56" i="228" s="1"/>
  <c r="B58" i="228"/>
  <c r="H17" i="214"/>
  <c r="K17" i="214" s="1"/>
  <c r="H14" i="214"/>
  <c r="K14" i="214" s="1"/>
  <c r="H18" i="214"/>
  <c r="K18" i="214" s="1"/>
  <c r="H23" i="214"/>
  <c r="K23" i="214" s="1"/>
  <c r="H21" i="214"/>
  <c r="K21" i="214" s="1"/>
  <c r="H19" i="214"/>
  <c r="K19" i="214" s="1"/>
  <c r="H16" i="214"/>
  <c r="K16" i="214" s="1"/>
  <c r="H22" i="214"/>
  <c r="K22" i="214" s="1"/>
  <c r="H20" i="214"/>
  <c r="K20" i="214" s="1"/>
  <c r="H15" i="214"/>
  <c r="K15" i="214" s="1"/>
  <c r="H13" i="214"/>
  <c r="K13" i="214" s="1"/>
  <c r="AD16" i="226"/>
  <c r="F58" i="226" s="1"/>
  <c r="AE12" i="226"/>
  <c r="AF10" i="226"/>
  <c r="B59" i="226"/>
  <c r="B47" i="214"/>
  <c r="B48" i="214" s="1"/>
  <c r="M10" i="214"/>
  <c r="K10" i="214"/>
  <c r="H10" i="214"/>
  <c r="F10" i="214"/>
  <c r="E59" i="226" l="1"/>
  <c r="J48" i="214"/>
  <c r="D9" i="217"/>
  <c r="E12" i="214"/>
  <c r="L12" i="214" s="1"/>
  <c r="D7" i="221" s="1"/>
  <c r="H13" i="228"/>
  <c r="K13" i="228" s="1"/>
  <c r="L13" i="228" s="1"/>
  <c r="L20" i="228" s="1"/>
  <c r="F38" i="228" s="1"/>
  <c r="AF13" i="226"/>
  <c r="AF15" i="226"/>
  <c r="AF14" i="226"/>
  <c r="B59" i="228"/>
  <c r="AG20" i="228"/>
  <c r="F57" i="228" s="1"/>
  <c r="AH12" i="228"/>
  <c r="AH15" i="228"/>
  <c r="AH16" i="228"/>
  <c r="AH19" i="228"/>
  <c r="AI10" i="228"/>
  <c r="AH14" i="228"/>
  <c r="AH17" i="228"/>
  <c r="AH18" i="228"/>
  <c r="AH13" i="228"/>
  <c r="L21" i="214"/>
  <c r="D27" i="221" s="1"/>
  <c r="AE16" i="226"/>
  <c r="F59" i="226" s="1"/>
  <c r="AG10" i="226"/>
  <c r="AF12" i="226"/>
  <c r="B60" i="226"/>
  <c r="M10" i="208"/>
  <c r="E13" i="214"/>
  <c r="E19" i="214"/>
  <c r="E16" i="214"/>
  <c r="L15" i="214"/>
  <c r="D11" i="221" s="1"/>
  <c r="L18" i="214"/>
  <c r="D23" i="221" s="1"/>
  <c r="L16" i="214"/>
  <c r="D17" i="221" s="1"/>
  <c r="E15" i="214"/>
  <c r="E20" i="214"/>
  <c r="L13" i="214"/>
  <c r="D29" i="221" s="1"/>
  <c r="L14" i="214"/>
  <c r="D9" i="221" s="1"/>
  <c r="L20" i="214"/>
  <c r="D25" i="221" s="1"/>
  <c r="E33" i="214"/>
  <c r="L17" i="214"/>
  <c r="D39" i="221" s="1"/>
  <c r="L22" i="214"/>
  <c r="D21" i="221" s="1"/>
  <c r="E22" i="214"/>
  <c r="L19" i="214"/>
  <c r="D19" i="221" s="1"/>
  <c r="E17" i="214"/>
  <c r="E23" i="214"/>
  <c r="T23" i="214" s="1"/>
  <c r="L33" i="221" s="1"/>
  <c r="E21" i="214"/>
  <c r="F34" i="214"/>
  <c r="N10" i="214"/>
  <c r="M13" i="214"/>
  <c r="E29" i="221" s="1"/>
  <c r="M15" i="214"/>
  <c r="E11" i="221" s="1"/>
  <c r="M16" i="214"/>
  <c r="E17" i="221" s="1"/>
  <c r="M17" i="214"/>
  <c r="E39" i="221" s="1"/>
  <c r="M18" i="214"/>
  <c r="E23" i="221" s="1"/>
  <c r="M19" i="214"/>
  <c r="E19" i="221" s="1"/>
  <c r="M20" i="214"/>
  <c r="E25" i="221" s="1"/>
  <c r="M21" i="214"/>
  <c r="E27" i="221" s="1"/>
  <c r="M22" i="214"/>
  <c r="E21" i="221" s="1"/>
  <c r="E14" i="214"/>
  <c r="E18" i="214"/>
  <c r="H33" i="214"/>
  <c r="K33" i="214" s="1"/>
  <c r="B49" i="214"/>
  <c r="D51" i="221" l="1"/>
  <c r="U23" i="214"/>
  <c r="M33" i="221" s="1"/>
  <c r="AF33" i="221" s="1"/>
  <c r="T33" i="214"/>
  <c r="L37" i="221" s="1"/>
  <c r="U33" i="214"/>
  <c r="M37" i="221" s="1"/>
  <c r="D7" i="217"/>
  <c r="E60" i="226"/>
  <c r="L10" i="208"/>
  <c r="AG13" i="226"/>
  <c r="AG15" i="226"/>
  <c r="AG14" i="226"/>
  <c r="K20" i="228"/>
  <c r="K36" i="228" s="1"/>
  <c r="B60" i="228"/>
  <c r="AI12" i="228"/>
  <c r="AI16" i="228"/>
  <c r="AI19" i="228"/>
  <c r="AJ10" i="228"/>
  <c r="AI15" i="228"/>
  <c r="AI17" i="228"/>
  <c r="AI13" i="228"/>
  <c r="AI14" i="228"/>
  <c r="AI18" i="228"/>
  <c r="AH20" i="228"/>
  <c r="F58" i="228" s="1"/>
  <c r="AF16" i="226"/>
  <c r="F60" i="226" s="1"/>
  <c r="AH10" i="226"/>
  <c r="AG12" i="226"/>
  <c r="B61" i="226"/>
  <c r="N22" i="214"/>
  <c r="F21" i="221" s="1"/>
  <c r="N18" i="214"/>
  <c r="F23" i="221" s="1"/>
  <c r="N20" i="214"/>
  <c r="F25" i="221" s="1"/>
  <c r="N21" i="214"/>
  <c r="F27" i="221" s="1"/>
  <c r="N19" i="214"/>
  <c r="F19" i="221" s="1"/>
  <c r="N17" i="214"/>
  <c r="F39" i="221" s="1"/>
  <c r="N16" i="214"/>
  <c r="F17" i="221" s="1"/>
  <c r="K34" i="214"/>
  <c r="L34" i="214"/>
  <c r="N11" i="214"/>
  <c r="O10" i="214"/>
  <c r="B50" i="214"/>
  <c r="AF37" i="221" l="1"/>
  <c r="D52" i="221"/>
  <c r="M36" i="228"/>
  <c r="L36" i="228"/>
  <c r="AH13" i="226"/>
  <c r="AH15" i="226"/>
  <c r="AH14" i="226"/>
  <c r="AJ12" i="228"/>
  <c r="AJ16" i="228"/>
  <c r="AJ18" i="228"/>
  <c r="AJ19" i="228"/>
  <c r="AK10" i="228"/>
  <c r="AJ15" i="228"/>
  <c r="AJ14" i="228"/>
  <c r="AJ17" i="228"/>
  <c r="AJ13" i="228"/>
  <c r="B61" i="228"/>
  <c r="AI20" i="228"/>
  <c r="F59" i="228" s="1"/>
  <c r="AG16" i="226"/>
  <c r="F61" i="226" s="1"/>
  <c r="AH12" i="226"/>
  <c r="AI10" i="226"/>
  <c r="B62" i="226"/>
  <c r="P10" i="214"/>
  <c r="O17" i="214"/>
  <c r="G39" i="221" s="1"/>
  <c r="O20" i="214"/>
  <c r="G25" i="221" s="1"/>
  <c r="O21" i="214"/>
  <c r="G27" i="221" s="1"/>
  <c r="B51" i="214"/>
  <c r="D54" i="221" l="1"/>
  <c r="N36" i="228"/>
  <c r="AI13" i="226"/>
  <c r="AI14" i="226"/>
  <c r="AI15" i="226"/>
  <c r="AK16" i="228"/>
  <c r="AK19" i="228"/>
  <c r="AL10" i="228"/>
  <c r="AK15" i="228"/>
  <c r="AK18" i="228"/>
  <c r="AK12" i="228"/>
  <c r="AK14" i="228"/>
  <c r="AK13" i="228"/>
  <c r="AK17" i="228"/>
  <c r="B62" i="228"/>
  <c r="AJ20" i="228"/>
  <c r="F60" i="228" s="1"/>
  <c r="AH16" i="226"/>
  <c r="F62" i="226" s="1"/>
  <c r="AI12" i="226"/>
  <c r="AJ10" i="226"/>
  <c r="B63" i="226"/>
  <c r="Q10" i="214"/>
  <c r="B52" i="214"/>
  <c r="Q16" i="214" l="1"/>
  <c r="I17" i="221" s="1"/>
  <c r="M6" i="228"/>
  <c r="M6" i="226"/>
  <c r="M13" i="226" s="1"/>
  <c r="AJ13" i="226"/>
  <c r="AJ14" i="226"/>
  <c r="AJ15" i="226"/>
  <c r="B63" i="228"/>
  <c r="I39" i="228" s="1"/>
  <c r="AK20" i="228"/>
  <c r="F61" i="228" s="1"/>
  <c r="AL16" i="228"/>
  <c r="AL19" i="228"/>
  <c r="AM10" i="228"/>
  <c r="AL15" i="228"/>
  <c r="AL18" i="228"/>
  <c r="AL17" i="228"/>
  <c r="AL12" i="228"/>
  <c r="AL13" i="228"/>
  <c r="AL14" i="228"/>
  <c r="Q22" i="214"/>
  <c r="I21" i="221" s="1"/>
  <c r="R10" i="214"/>
  <c r="AK10" i="226"/>
  <c r="AJ12" i="226"/>
  <c r="AI16" i="226"/>
  <c r="F63" i="226" s="1"/>
  <c r="B64" i="226"/>
  <c r="B53" i="214"/>
  <c r="I40" i="228" l="1"/>
  <c r="J39" i="228"/>
  <c r="M13" i="228"/>
  <c r="M14" i="228"/>
  <c r="M15" i="226"/>
  <c r="M14" i="226"/>
  <c r="S10" i="214"/>
  <c r="N6" i="226"/>
  <c r="M12" i="228"/>
  <c r="M16" i="228"/>
  <c r="N6" i="228"/>
  <c r="N14" i="228" s="1"/>
  <c r="M12" i="226"/>
  <c r="R12" i="214"/>
  <c r="J7" i="221" s="1"/>
  <c r="R16" i="214"/>
  <c r="J17" i="221" s="1"/>
  <c r="AK13" i="226"/>
  <c r="AK14" i="226"/>
  <c r="AK15" i="226"/>
  <c r="AM14" i="228"/>
  <c r="AM19" i="228"/>
  <c r="AN10" i="228"/>
  <c r="AM15" i="228"/>
  <c r="AM18" i="228"/>
  <c r="AM13" i="228"/>
  <c r="AM12" i="228"/>
  <c r="AM16" i="228"/>
  <c r="AM17" i="228"/>
  <c r="AL20" i="228"/>
  <c r="F62" i="228" s="1"/>
  <c r="B64" i="228"/>
  <c r="I64" i="228" s="1"/>
  <c r="AJ16" i="226"/>
  <c r="F64" i="226" s="1"/>
  <c r="AK12" i="226"/>
  <c r="AL10" i="226"/>
  <c r="B65" i="226"/>
  <c r="M6" i="214"/>
  <c r="B54" i="214"/>
  <c r="N6" i="214" l="1"/>
  <c r="O6" i="214" s="1"/>
  <c r="O12" i="214" s="1"/>
  <c r="G7" i="221" s="1"/>
  <c r="M12" i="214"/>
  <c r="E7" i="221" s="1"/>
  <c r="M14" i="214"/>
  <c r="E9" i="221" s="1"/>
  <c r="I42" i="226"/>
  <c r="J42" i="226" s="1"/>
  <c r="J41" i="226"/>
  <c r="I41" i="228"/>
  <c r="J40" i="228"/>
  <c r="S13" i="214"/>
  <c r="K29" i="221" s="1"/>
  <c r="N12" i="214"/>
  <c r="F7" i="221" s="1"/>
  <c r="N13" i="214"/>
  <c r="F29" i="221" s="1"/>
  <c r="N13" i="226"/>
  <c r="N14" i="226"/>
  <c r="S14" i="214"/>
  <c r="K9" i="221" s="1"/>
  <c r="T10" i="214"/>
  <c r="S12" i="214"/>
  <c r="K7" i="221" s="1"/>
  <c r="S18" i="214"/>
  <c r="K23" i="221" s="1"/>
  <c r="S16" i="214"/>
  <c r="K17" i="221" s="1"/>
  <c r="S15" i="214"/>
  <c r="K11" i="221" s="1"/>
  <c r="O13" i="214"/>
  <c r="G29" i="221" s="1"/>
  <c r="M16" i="226"/>
  <c r="F41" i="226" s="1"/>
  <c r="M20" i="228"/>
  <c r="K37" i="228" s="1"/>
  <c r="O6" i="228"/>
  <c r="N12" i="228"/>
  <c r="N16" i="228"/>
  <c r="N13" i="228"/>
  <c r="O6" i="226"/>
  <c r="O14" i="226" s="1"/>
  <c r="N15" i="226"/>
  <c r="AL14" i="226"/>
  <c r="AL15" i="226"/>
  <c r="AL13" i="226"/>
  <c r="B65" i="228"/>
  <c r="I65" i="228" s="1"/>
  <c r="AM20" i="228"/>
  <c r="F63" i="228" s="1"/>
  <c r="AN19" i="228"/>
  <c r="AO10" i="228"/>
  <c r="AN15" i="228"/>
  <c r="AN18" i="228"/>
  <c r="AN14" i="228"/>
  <c r="AN13" i="228"/>
  <c r="AN12" i="228"/>
  <c r="AN16" i="228"/>
  <c r="AN17" i="228"/>
  <c r="AL12" i="226"/>
  <c r="AM10" i="226"/>
  <c r="AK16" i="226"/>
  <c r="F65" i="226" s="1"/>
  <c r="B66" i="226"/>
  <c r="I66" i="226" s="1"/>
  <c r="B55" i="214"/>
  <c r="E51" i="221" l="1"/>
  <c r="D8" i="221" a="1"/>
  <c r="D8" i="221" s="1"/>
  <c r="F8" i="221" a="1"/>
  <c r="F8" i="221" s="1"/>
  <c r="E8" i="221" a="1"/>
  <c r="E8" i="221" s="1"/>
  <c r="M34" i="214"/>
  <c r="N14" i="214"/>
  <c r="F9" i="221" s="1"/>
  <c r="N15" i="214"/>
  <c r="F11" i="221" s="1"/>
  <c r="I43" i="226"/>
  <c r="I42" i="228"/>
  <c r="J41" i="228"/>
  <c r="O22" i="214"/>
  <c r="G21" i="221" s="1"/>
  <c r="O16" i="214"/>
  <c r="G17" i="221" s="1"/>
  <c r="O19" i="214"/>
  <c r="G19" i="221" s="1"/>
  <c r="P6" i="214"/>
  <c r="P18" i="214" s="1"/>
  <c r="H23" i="221" s="1"/>
  <c r="P17" i="214"/>
  <c r="H39" i="221" s="1"/>
  <c r="T20" i="214"/>
  <c r="L25" i="221" s="1"/>
  <c r="O14" i="214"/>
  <c r="G9" i="221" s="1"/>
  <c r="O15" i="214"/>
  <c r="G11" i="221" s="1"/>
  <c r="O18" i="214"/>
  <c r="G23" i="221" s="1"/>
  <c r="T15" i="214"/>
  <c r="L11" i="221" s="1"/>
  <c r="T17" i="214"/>
  <c r="L39" i="221" s="1"/>
  <c r="T12" i="214"/>
  <c r="L7" i="221" s="1"/>
  <c r="N16" i="226"/>
  <c r="F42" i="226" s="1"/>
  <c r="T18" i="214"/>
  <c r="L23" i="221" s="1"/>
  <c r="T14" i="214"/>
  <c r="L9" i="221" s="1"/>
  <c r="T19" i="214"/>
  <c r="L19" i="221" s="1"/>
  <c r="U10" i="214"/>
  <c r="U16" i="214" s="1"/>
  <c r="M17" i="221" s="1"/>
  <c r="T13" i="214"/>
  <c r="L29" i="221" s="1"/>
  <c r="T16" i="214"/>
  <c r="L17" i="221" s="1"/>
  <c r="P12" i="214"/>
  <c r="H7" i="221" s="1"/>
  <c r="P13" i="214"/>
  <c r="H29" i="221" s="1"/>
  <c r="P14" i="214"/>
  <c r="H9" i="221" s="1"/>
  <c r="Q17" i="214"/>
  <c r="I39" i="221" s="1"/>
  <c r="P6" i="228"/>
  <c r="O16" i="228"/>
  <c r="O14" i="228"/>
  <c r="O13" i="228"/>
  <c r="P6" i="226"/>
  <c r="O15" i="226"/>
  <c r="O13" i="226"/>
  <c r="L37" i="228"/>
  <c r="M37" i="228"/>
  <c r="N20" i="228"/>
  <c r="AM14" i="226"/>
  <c r="AM15" i="226"/>
  <c r="AM13" i="226"/>
  <c r="AO15" i="228"/>
  <c r="AO18" i="228"/>
  <c r="AO17" i="228"/>
  <c r="AO14" i="228"/>
  <c r="AO13" i="228"/>
  <c r="AP10" i="228"/>
  <c r="AO19" i="228"/>
  <c r="AO12" i="228"/>
  <c r="AO16" i="228"/>
  <c r="B66" i="228"/>
  <c r="I66" i="228" s="1"/>
  <c r="AN20" i="228"/>
  <c r="F64" i="228" s="1"/>
  <c r="AM12" i="226"/>
  <c r="AN10" i="226"/>
  <c r="AL16" i="226"/>
  <c r="F66" i="226" s="1"/>
  <c r="B67" i="226"/>
  <c r="I67" i="226" s="1"/>
  <c r="Q14" i="214"/>
  <c r="I9" i="221" s="1"/>
  <c r="Q15" i="214"/>
  <c r="I11" i="221" s="1"/>
  <c r="Q12" i="214"/>
  <c r="I7" i="221" s="1"/>
  <c r="B56" i="214"/>
  <c r="H8" i="221" l="1" a="1"/>
  <c r="H8" i="221" s="1"/>
  <c r="F10" i="221" a="1"/>
  <c r="F10" i="221" s="1"/>
  <c r="F51" i="221"/>
  <c r="I8" i="221" a="1"/>
  <c r="I8" i="221" s="1"/>
  <c r="G12" i="221" a="1"/>
  <c r="G12" i="221" s="1"/>
  <c r="G51" i="221"/>
  <c r="E52" i="221"/>
  <c r="G20" i="221" a="1"/>
  <c r="G20" i="221" s="1"/>
  <c r="G16" i="221" a="1"/>
  <c r="G16" i="221" s="1"/>
  <c r="F14" i="221" a="1"/>
  <c r="F14" i="221" s="1"/>
  <c r="K8" i="221" a="1"/>
  <c r="K8" i="221" s="1"/>
  <c r="G10" i="221" a="1"/>
  <c r="G10" i="221" s="1"/>
  <c r="F12" i="221" a="1"/>
  <c r="F12" i="221" s="1"/>
  <c r="H10" i="221" a="1"/>
  <c r="H10" i="221" s="1"/>
  <c r="G18" i="221" a="1"/>
  <c r="G18" i="221" s="1"/>
  <c r="F16" i="221" a="1"/>
  <c r="F16" i="221" s="1"/>
  <c r="G22" i="221" a="1"/>
  <c r="G22" i="221" s="1"/>
  <c r="G14" i="221" a="1"/>
  <c r="G14" i="221" s="1"/>
  <c r="J8" i="221" a="1"/>
  <c r="J8" i="221" s="1"/>
  <c r="E10" i="221" a="1"/>
  <c r="E10" i="221" s="1"/>
  <c r="G8" i="221" a="1"/>
  <c r="G8" i="221" s="1"/>
  <c r="N34" i="214"/>
  <c r="F50" i="214" s="1"/>
  <c r="I44" i="226"/>
  <c r="J43" i="226"/>
  <c r="I43" i="228"/>
  <c r="J42" i="228"/>
  <c r="P19" i="214"/>
  <c r="H19" i="221" s="1"/>
  <c r="Q6" i="214"/>
  <c r="Q18" i="214" s="1"/>
  <c r="I23" i="221" s="1"/>
  <c r="P15" i="214"/>
  <c r="H11" i="221" s="1"/>
  <c r="P20" i="214"/>
  <c r="H25" i="221" s="1"/>
  <c r="U15" i="214"/>
  <c r="M11" i="221" s="1"/>
  <c r="U17" i="214"/>
  <c r="M39" i="221" s="1"/>
  <c r="U20" i="214"/>
  <c r="M25" i="221" s="1"/>
  <c r="U12" i="214"/>
  <c r="M7" i="221" s="1"/>
  <c r="U14" i="214"/>
  <c r="M9" i="221" s="1"/>
  <c r="P22" i="214"/>
  <c r="H21" i="221" s="1"/>
  <c r="P21" i="214"/>
  <c r="H27" i="221" s="1"/>
  <c r="P16" i="214"/>
  <c r="H17" i="221" s="1"/>
  <c r="F48" i="214"/>
  <c r="K48" i="214" s="1"/>
  <c r="O34" i="214"/>
  <c r="F49" i="214" s="1"/>
  <c r="Q19" i="214"/>
  <c r="I19" i="221" s="1"/>
  <c r="U19" i="214"/>
  <c r="M19" i="221" s="1"/>
  <c r="V10" i="214"/>
  <c r="V12" i="214" s="1"/>
  <c r="N7" i="221" s="1"/>
  <c r="U18" i="214"/>
  <c r="M23" i="221" s="1"/>
  <c r="U21" i="214"/>
  <c r="M27" i="221" s="1"/>
  <c r="U13" i="214"/>
  <c r="M29" i="221" s="1"/>
  <c r="P15" i="226"/>
  <c r="P14" i="226"/>
  <c r="L40" i="226"/>
  <c r="O20" i="228"/>
  <c r="F39" i="228" s="1"/>
  <c r="Q6" i="228"/>
  <c r="P14" i="228"/>
  <c r="P20" i="228" s="1"/>
  <c r="P13" i="226"/>
  <c r="Q6" i="226"/>
  <c r="Q15" i="226" s="1"/>
  <c r="N37" i="228"/>
  <c r="K38" i="228" s="1"/>
  <c r="O16" i="226"/>
  <c r="F43" i="226" s="1"/>
  <c r="AN14" i="226"/>
  <c r="AN15" i="226"/>
  <c r="AN13" i="226"/>
  <c r="AO20" i="228"/>
  <c r="F65" i="228" s="1"/>
  <c r="AP15" i="228"/>
  <c r="AP18" i="228"/>
  <c r="AP14" i="228"/>
  <c r="AP17" i="228"/>
  <c r="AQ10" i="228"/>
  <c r="AP13" i="228"/>
  <c r="AP16" i="228"/>
  <c r="AP12" i="228"/>
  <c r="AP19" i="228"/>
  <c r="J66" i="228"/>
  <c r="B67" i="228"/>
  <c r="I67" i="228" s="1"/>
  <c r="AO10" i="226"/>
  <c r="AN12" i="226"/>
  <c r="AM16" i="226"/>
  <c r="F67" i="226" s="1"/>
  <c r="B68" i="226"/>
  <c r="I68" i="226" s="1"/>
  <c r="R14" i="214"/>
  <c r="J9" i="221" s="1"/>
  <c r="R15" i="214"/>
  <c r="J11" i="221" s="1"/>
  <c r="R19" i="214"/>
  <c r="J19" i="221" s="1"/>
  <c r="R18" i="214"/>
  <c r="J23" i="221" s="1"/>
  <c r="R20" i="214"/>
  <c r="J25" i="221" s="1"/>
  <c r="R17" i="214"/>
  <c r="J39" i="221" s="1"/>
  <c r="B57" i="214"/>
  <c r="F52" i="221" l="1"/>
  <c r="H24" i="221" a="1"/>
  <c r="H24" i="221" s="1"/>
  <c r="H22" i="221" a="1"/>
  <c r="H22" i="221" s="1"/>
  <c r="J16" i="221" a="1"/>
  <c r="J16" i="221" s="1"/>
  <c r="E54" i="221"/>
  <c r="L18" i="221" a="1"/>
  <c r="L18" i="221" s="1"/>
  <c r="I22" i="221" a="1"/>
  <c r="I22" i="221" s="1"/>
  <c r="H20" i="221" a="1"/>
  <c r="H20" i="221" s="1"/>
  <c r="I16" i="221" a="1"/>
  <c r="I16" i="221" s="1"/>
  <c r="I12" i="221" a="1"/>
  <c r="I12" i="221" s="1"/>
  <c r="I18" i="221" a="1"/>
  <c r="I18" i="221" s="1"/>
  <c r="H26" i="221" a="1"/>
  <c r="H26" i="221" s="1"/>
  <c r="I24" i="221" a="1"/>
  <c r="I24" i="221" s="1"/>
  <c r="J20" i="221" a="1"/>
  <c r="J20" i="221" s="1"/>
  <c r="H51" i="221"/>
  <c r="M16" i="221" a="1"/>
  <c r="M16" i="221" s="1"/>
  <c r="I10" i="221" a="1"/>
  <c r="I10" i="221" s="1"/>
  <c r="K18" i="221" a="1"/>
  <c r="K18" i="221" s="1"/>
  <c r="L16" i="221" a="1"/>
  <c r="L16" i="221" s="1"/>
  <c r="K10" i="221" a="1"/>
  <c r="K10" i="221" s="1"/>
  <c r="J12" i="221" a="1"/>
  <c r="J12" i="221" s="1"/>
  <c r="L12" i="221" a="1"/>
  <c r="L12" i="221" s="1"/>
  <c r="K12" i="221" a="1"/>
  <c r="K12" i="221" s="1"/>
  <c r="H14" i="221" a="1"/>
  <c r="H14" i="221" s="1"/>
  <c r="H16" i="221" a="1"/>
  <c r="H16" i="221" s="1"/>
  <c r="K16" i="221" a="1"/>
  <c r="K16" i="221" s="1"/>
  <c r="M18" i="221" a="1"/>
  <c r="M18" i="221" s="1"/>
  <c r="H12" i="221" a="1"/>
  <c r="H12" i="221" s="1"/>
  <c r="L14" i="221" a="1"/>
  <c r="L14" i="221" s="1"/>
  <c r="I14" i="221" a="1"/>
  <c r="I14" i="221" s="1"/>
  <c r="J14" i="221" a="1"/>
  <c r="J14" i="221" s="1"/>
  <c r="J18" i="221" a="1"/>
  <c r="J18" i="221" s="1"/>
  <c r="M14" i="221" a="1"/>
  <c r="M14" i="221" s="1"/>
  <c r="M12" i="221" a="1"/>
  <c r="M12" i="221" s="1"/>
  <c r="L10" i="221" a="1"/>
  <c r="L10" i="221" s="1"/>
  <c r="L8" i="221" a="1"/>
  <c r="L8" i="221" s="1"/>
  <c r="G52" i="221"/>
  <c r="F54" i="221"/>
  <c r="K14" i="221" a="1"/>
  <c r="K14" i="221" s="1"/>
  <c r="H18" i="221" a="1"/>
  <c r="H18" i="221" s="1"/>
  <c r="J10" i="221" a="1"/>
  <c r="J10" i="221" s="1"/>
  <c r="I20" i="221" a="1"/>
  <c r="I20" i="221" s="1"/>
  <c r="I45" i="226"/>
  <c r="J44" i="226"/>
  <c r="I44" i="228"/>
  <c r="J43" i="228"/>
  <c r="Q20" i="214"/>
  <c r="I25" i="221" s="1"/>
  <c r="I26" i="221" s="1" a="1"/>
  <c r="I26" i="221" s="1"/>
  <c r="R6" i="214"/>
  <c r="R13" i="214" s="1"/>
  <c r="J29" i="221" s="1"/>
  <c r="Q21" i="214"/>
  <c r="I27" i="221" s="1"/>
  <c r="Q13" i="214"/>
  <c r="I29" i="221" s="1"/>
  <c r="V14" i="214"/>
  <c r="N9" i="221" s="1"/>
  <c r="V21" i="214"/>
  <c r="N27" i="221" s="1"/>
  <c r="P34" i="214"/>
  <c r="V20" i="214"/>
  <c r="N25" i="221" s="1"/>
  <c r="V13" i="214"/>
  <c r="N29" i="221" s="1"/>
  <c r="W10" i="214"/>
  <c r="P16" i="226"/>
  <c r="F44" i="226" s="1"/>
  <c r="R21" i="214"/>
  <c r="J27" i="221" s="1"/>
  <c r="R22" i="214"/>
  <c r="J21" i="221" s="1"/>
  <c r="V16" i="214"/>
  <c r="N17" i="221" s="1"/>
  <c r="V18" i="214"/>
  <c r="N23" i="221" s="1"/>
  <c r="V19" i="214"/>
  <c r="N19" i="221" s="1"/>
  <c r="R6" i="228"/>
  <c r="R18" i="228" s="1"/>
  <c r="Q18" i="228"/>
  <c r="Q17" i="228"/>
  <c r="Q15" i="228"/>
  <c r="V15" i="214"/>
  <c r="N11" i="221" s="1"/>
  <c r="V17" i="214"/>
  <c r="N39" i="221" s="1"/>
  <c r="V22" i="214"/>
  <c r="N21" i="221" s="1"/>
  <c r="F51" i="214"/>
  <c r="M40" i="226"/>
  <c r="N40" i="226" s="1"/>
  <c r="C41" i="226" s="1"/>
  <c r="K41" i="226" s="1"/>
  <c r="R6" i="226"/>
  <c r="Q14" i="226"/>
  <c r="Q16" i="226" s="1"/>
  <c r="F45" i="226" s="1"/>
  <c r="F40" i="228"/>
  <c r="F41" i="228"/>
  <c r="L38" i="228"/>
  <c r="M38" i="228"/>
  <c r="S18" i="228"/>
  <c r="S17" i="228"/>
  <c r="S15" i="228"/>
  <c r="AO14" i="226"/>
  <c r="AO15" i="226"/>
  <c r="AO13" i="226"/>
  <c r="B68" i="228"/>
  <c r="I68" i="228" s="1"/>
  <c r="J67" i="228"/>
  <c r="AQ15" i="228"/>
  <c r="AQ18" i="228"/>
  <c r="AQ14" i="228"/>
  <c r="AQ17" i="228"/>
  <c r="AQ19" i="228"/>
  <c r="AQ13" i="228"/>
  <c r="AQ12" i="228"/>
  <c r="AQ16" i="228"/>
  <c r="AR10" i="228"/>
  <c r="AP20" i="228"/>
  <c r="F66" i="228" s="1"/>
  <c r="AN16" i="226"/>
  <c r="F68" i="226" s="1"/>
  <c r="AO12" i="226"/>
  <c r="AP10" i="226"/>
  <c r="B69" i="226"/>
  <c r="I69" i="226" s="1"/>
  <c r="J68" i="226"/>
  <c r="S17" i="214"/>
  <c r="K39" i="221" s="1"/>
  <c r="S20" i="214"/>
  <c r="K25" i="221" s="1"/>
  <c r="S19" i="214"/>
  <c r="K19" i="221" s="1"/>
  <c r="S21" i="214"/>
  <c r="K27" i="221" s="1"/>
  <c r="B58" i="214"/>
  <c r="H28" i="221" l="1" a="1"/>
  <c r="H28" i="221" s="1"/>
  <c r="J51" i="221"/>
  <c r="I28" i="221" a="1"/>
  <c r="I28" i="221" s="1"/>
  <c r="I51" i="221"/>
  <c r="J26" i="221" a="1"/>
  <c r="J26" i="221" s="1"/>
  <c r="J24" i="221" a="1"/>
  <c r="J24" i="221" s="1"/>
  <c r="J22" i="221" a="1"/>
  <c r="J22" i="221" s="1"/>
  <c r="N16" i="221" a="1"/>
  <c r="N16" i="221" s="1"/>
  <c r="N51" i="221"/>
  <c r="L20" i="221" a="1"/>
  <c r="L20" i="221" s="1"/>
  <c r="M20" i="221" a="1"/>
  <c r="M20" i="221" s="1"/>
  <c r="J30" i="221" a="1"/>
  <c r="J30" i="221" s="1"/>
  <c r="I30" i="221" a="1"/>
  <c r="I30" i="221" s="1"/>
  <c r="N20" i="221" a="1"/>
  <c r="N20" i="221" s="1"/>
  <c r="N14" i="221" a="1"/>
  <c r="N14" i="221" s="1"/>
  <c r="M10" i="221" a="1"/>
  <c r="M10" i="221" s="1"/>
  <c r="N18" i="221" a="1"/>
  <c r="N18" i="221" s="1"/>
  <c r="K20" i="221" a="1"/>
  <c r="K20" i="221" s="1"/>
  <c r="N12" i="221" a="1"/>
  <c r="N12" i="221" s="1"/>
  <c r="H52" i="221"/>
  <c r="G54" i="221"/>
  <c r="I46" i="226"/>
  <c r="J45" i="226"/>
  <c r="S6" i="214"/>
  <c r="T6" i="214" s="1"/>
  <c r="I45" i="228"/>
  <c r="J44" i="228"/>
  <c r="N48" i="214"/>
  <c r="C49" i="214" s="1"/>
  <c r="Q34" i="214"/>
  <c r="W17" i="214"/>
  <c r="O39" i="221" s="1"/>
  <c r="W20" i="214"/>
  <c r="O25" i="221" s="1"/>
  <c r="W13" i="214"/>
  <c r="O29" i="221" s="1"/>
  <c r="W21" i="214"/>
  <c r="O27" i="221" s="1"/>
  <c r="W16" i="214"/>
  <c r="O17" i="221" s="1"/>
  <c r="W15" i="214"/>
  <c r="O11" i="221" s="1"/>
  <c r="W19" i="214"/>
  <c r="O19" i="221" s="1"/>
  <c r="W22" i="214"/>
  <c r="O21" i="221" s="1"/>
  <c r="W14" i="214"/>
  <c r="O9" i="221" s="1"/>
  <c r="W12" i="214"/>
  <c r="O7" i="221" s="1"/>
  <c r="W18" i="214"/>
  <c r="O23" i="221" s="1"/>
  <c r="X10" i="214"/>
  <c r="X22" i="214" s="1"/>
  <c r="P21" i="221" s="1"/>
  <c r="R17" i="228"/>
  <c r="S6" i="228"/>
  <c r="T6" i="228" s="1"/>
  <c r="T19" i="228" s="1"/>
  <c r="R15" i="228"/>
  <c r="R19" i="228"/>
  <c r="R34" i="214"/>
  <c r="F52" i="214" s="1"/>
  <c r="Q20" i="228"/>
  <c r="S22" i="214"/>
  <c r="K21" i="221" s="1"/>
  <c r="K22" i="221" s="1" a="1"/>
  <c r="K22" i="221" s="1"/>
  <c r="S6" i="226"/>
  <c r="T6" i="226" s="1"/>
  <c r="U6" i="226" s="1"/>
  <c r="V6" i="226" s="1"/>
  <c r="W6" i="226" s="1"/>
  <c r="R15" i="226"/>
  <c r="R14" i="226"/>
  <c r="T18" i="228"/>
  <c r="T17" i="228"/>
  <c r="T15" i="228"/>
  <c r="S14" i="226"/>
  <c r="S16" i="226" s="1"/>
  <c r="F47" i="226" s="1"/>
  <c r="M41" i="226"/>
  <c r="L41" i="226"/>
  <c r="N38" i="228"/>
  <c r="C39" i="228" s="1"/>
  <c r="K39" i="228" s="1"/>
  <c r="AP14" i="226"/>
  <c r="AP15" i="226"/>
  <c r="AP13" i="226"/>
  <c r="AR18" i="228"/>
  <c r="AR13" i="228"/>
  <c r="AR14" i="228"/>
  <c r="AR17" i="228"/>
  <c r="AR15" i="228"/>
  <c r="AR19" i="228"/>
  <c r="AR12" i="228"/>
  <c r="AR16" i="228"/>
  <c r="AS10" i="228"/>
  <c r="AQ20" i="228"/>
  <c r="F67" i="228" s="1"/>
  <c r="J68" i="228"/>
  <c r="B69" i="228"/>
  <c r="I69" i="228" s="1"/>
  <c r="AO16" i="226"/>
  <c r="F69" i="226" s="1"/>
  <c r="AQ10" i="226"/>
  <c r="AP12" i="226"/>
  <c r="J69" i="226"/>
  <c r="B70" i="226"/>
  <c r="I70" i="226" s="1"/>
  <c r="U6" i="214"/>
  <c r="T22" i="214"/>
  <c r="L21" i="221" s="1"/>
  <c r="T21" i="214"/>
  <c r="L27" i="221" s="1"/>
  <c r="B59" i="214"/>
  <c r="L38" i="221" l="1" a="1"/>
  <c r="L38" i="221" s="1"/>
  <c r="J28" i="221" a="1"/>
  <c r="J28" i="221" s="1"/>
  <c r="K51" i="221"/>
  <c r="K32" i="221" a="1"/>
  <c r="K32" i="221" s="1"/>
  <c r="K28" i="221" a="1"/>
  <c r="K28" i="221" s="1"/>
  <c r="L51" i="221"/>
  <c r="L24" i="221" a="1"/>
  <c r="L24" i="221" s="1"/>
  <c r="I52" i="221"/>
  <c r="H54" i="221"/>
  <c r="L22" i="221" a="1"/>
  <c r="L22" i="221" s="1"/>
  <c r="L26" i="221" a="1"/>
  <c r="L26" i="221" s="1"/>
  <c r="L32" i="221" a="1"/>
  <c r="L32" i="221" s="1"/>
  <c r="K26" i="221" a="1"/>
  <c r="K26" i="221" s="1"/>
  <c r="K24" i="221" a="1"/>
  <c r="K24" i="221" s="1"/>
  <c r="L30" i="221" a="1"/>
  <c r="L30" i="221" s="1"/>
  <c r="L34" i="221" a="1"/>
  <c r="L34" i="221" s="1"/>
  <c r="L36" i="221" a="1"/>
  <c r="L36" i="221" s="1"/>
  <c r="K30" i="221" a="1"/>
  <c r="K30" i="221" s="1"/>
  <c r="O51" i="221"/>
  <c r="O20" i="221" a="1"/>
  <c r="O20" i="221" s="1"/>
  <c r="O18" i="221" a="1"/>
  <c r="O18" i="221" s="1"/>
  <c r="O16" i="221" a="1"/>
  <c r="O16" i="221" s="1"/>
  <c r="O14" i="221" a="1"/>
  <c r="O14" i="221" s="1"/>
  <c r="S34" i="214"/>
  <c r="F53" i="214" s="1"/>
  <c r="I47" i="226"/>
  <c r="J46" i="226"/>
  <c r="I46" i="228"/>
  <c r="J45" i="228"/>
  <c r="X15" i="214"/>
  <c r="P11" i="221" s="1"/>
  <c r="X12" i="214"/>
  <c r="P7" i="221" s="1"/>
  <c r="X18" i="214"/>
  <c r="P23" i="221" s="1"/>
  <c r="X20" i="214"/>
  <c r="P25" i="221" s="1"/>
  <c r="X13" i="214"/>
  <c r="P29" i="221" s="1"/>
  <c r="Y10" i="214"/>
  <c r="Y21" i="214" s="1"/>
  <c r="Q27" i="221" s="1"/>
  <c r="X17" i="214"/>
  <c r="P39" i="221" s="1"/>
  <c r="X19" i="214"/>
  <c r="P19" i="221" s="1"/>
  <c r="X21" i="214"/>
  <c r="P27" i="221" s="1"/>
  <c r="X14" i="214"/>
  <c r="P9" i="221" s="1"/>
  <c r="W34" i="214"/>
  <c r="S19" i="228"/>
  <c r="S20" i="228" s="1"/>
  <c r="X16" i="214"/>
  <c r="P17" i="221" s="1"/>
  <c r="R20" i="228"/>
  <c r="F42" i="228" s="1"/>
  <c r="U6" i="228"/>
  <c r="V6" i="228" s="1"/>
  <c r="W6" i="228" s="1"/>
  <c r="R16" i="226"/>
  <c r="F46" i="226" s="1"/>
  <c r="X6" i="226"/>
  <c r="Y6" i="226" s="1"/>
  <c r="W13" i="226"/>
  <c r="W16" i="226" s="1"/>
  <c r="F51" i="226" s="1"/>
  <c r="F43" i="228"/>
  <c r="U19" i="228"/>
  <c r="U20" i="228" s="1"/>
  <c r="T20" i="228"/>
  <c r="N41" i="226"/>
  <c r="C42" i="226" s="1"/>
  <c r="V19" i="228"/>
  <c r="V20" i="228" s="1"/>
  <c r="T34" i="214"/>
  <c r="F54" i="214" s="1"/>
  <c r="L39" i="228"/>
  <c r="M39" i="228"/>
  <c r="AQ14" i="226"/>
  <c r="AQ15" i="226"/>
  <c r="AQ13" i="226"/>
  <c r="AR20" i="228"/>
  <c r="F68" i="228" s="1"/>
  <c r="B70" i="228"/>
  <c r="I70" i="228" s="1"/>
  <c r="J69" i="228"/>
  <c r="AS18" i="228"/>
  <c r="AS14" i="228"/>
  <c r="AS17" i="228"/>
  <c r="AS13" i="228"/>
  <c r="AS15" i="228"/>
  <c r="AS12" i="228"/>
  <c r="AS19" i="228"/>
  <c r="AS16" i="228"/>
  <c r="AT10" i="228"/>
  <c r="AP16" i="226"/>
  <c r="F70" i="226" s="1"/>
  <c r="AR10" i="226"/>
  <c r="AQ12" i="226"/>
  <c r="J70" i="226"/>
  <c r="B71" i="226"/>
  <c r="I71" i="226" s="1"/>
  <c r="V6" i="214"/>
  <c r="U22" i="214"/>
  <c r="M21" i="221" s="1"/>
  <c r="B60" i="214"/>
  <c r="N34" i="221" l="1" a="1"/>
  <c r="N34" i="221" s="1"/>
  <c r="M51" i="221"/>
  <c r="P51" i="221"/>
  <c r="N30" i="221" a="1"/>
  <c r="N30" i="221" s="1"/>
  <c r="M34" i="221" a="1"/>
  <c r="M34" i="221" s="1"/>
  <c r="N28" i="221" a="1"/>
  <c r="N28" i="221" s="1"/>
  <c r="O28" i="221" a="1"/>
  <c r="O28" i="221" s="1"/>
  <c r="O36" i="221" a="1"/>
  <c r="O36" i="221" s="1"/>
  <c r="P22" i="221" a="1"/>
  <c r="P22" i="221" s="1"/>
  <c r="P26" i="221" a="1"/>
  <c r="P26" i="221" s="1"/>
  <c r="J52" i="221"/>
  <c r="I54" i="221"/>
  <c r="M24" i="221" a="1"/>
  <c r="M24" i="221" s="1"/>
  <c r="N26" i="221" a="1"/>
  <c r="N26" i="221" s="1"/>
  <c r="O26" i="221" a="1"/>
  <c r="O26" i="221" s="1"/>
  <c r="P34" i="221" a="1"/>
  <c r="P34" i="221" s="1"/>
  <c r="P20" i="221" a="1"/>
  <c r="P20" i="221" s="1"/>
  <c r="P24" i="221" a="1"/>
  <c r="P24" i="221" s="1"/>
  <c r="P30" i="221" a="1"/>
  <c r="P30" i="221" s="1"/>
  <c r="O22" i="221" a="1"/>
  <c r="O22" i="221" s="1"/>
  <c r="M26" i="221" a="1"/>
  <c r="M26" i="221" s="1"/>
  <c r="P18" i="221" a="1"/>
  <c r="P18" i="221" s="1"/>
  <c r="N32" i="221" a="1"/>
  <c r="N32" i="221" s="1"/>
  <c r="O24" i="221" a="1"/>
  <c r="O24" i="221" s="1"/>
  <c r="L28" i="221" a="1"/>
  <c r="L28" i="221" s="1"/>
  <c r="P38" i="221" a="1"/>
  <c r="P38" i="221" s="1"/>
  <c r="O34" i="221" a="1"/>
  <c r="O34" i="221" s="1"/>
  <c r="O30" i="221" a="1"/>
  <c r="O30" i="221" s="1"/>
  <c r="M22" i="221" a="1"/>
  <c r="M22" i="221" s="1"/>
  <c r="N36" i="221" a="1"/>
  <c r="N36" i="221" s="1"/>
  <c r="M36" i="221" a="1"/>
  <c r="M36" i="221" s="1"/>
  <c r="N38" i="221" a="1"/>
  <c r="N38" i="221" s="1"/>
  <c r="M32" i="221" a="1"/>
  <c r="M32" i="221" s="1"/>
  <c r="M38" i="221" a="1"/>
  <c r="M38" i="221" s="1"/>
  <c r="M30" i="221" a="1"/>
  <c r="M30" i="221" s="1"/>
  <c r="N24" i="221" a="1"/>
  <c r="N24" i="221" s="1"/>
  <c r="N22" i="221" a="1"/>
  <c r="N22" i="221" s="1"/>
  <c r="P32" i="221" a="1"/>
  <c r="P32" i="221" s="1"/>
  <c r="O38" i="221" a="1"/>
  <c r="O38" i="221" s="1"/>
  <c r="P36" i="221" a="1"/>
  <c r="P36" i="221" s="1"/>
  <c r="O32" i="221" a="1"/>
  <c r="O32" i="221" s="1"/>
  <c r="M28" i="221" a="1"/>
  <c r="M28" i="221" s="1"/>
  <c r="I48" i="226"/>
  <c r="J47" i="226"/>
  <c r="I47" i="228"/>
  <c r="J46" i="228"/>
  <c r="Y18" i="214"/>
  <c r="Q23" i="221" s="1"/>
  <c r="Y20" i="214"/>
  <c r="Q25" i="221" s="1"/>
  <c r="Y19" i="214"/>
  <c r="Q19" i="221" s="1"/>
  <c r="Y22" i="214"/>
  <c r="Q21" i="221" s="1"/>
  <c r="Y15" i="214"/>
  <c r="Q11" i="221" s="1"/>
  <c r="Y13" i="214"/>
  <c r="Q29" i="221" s="1"/>
  <c r="X34" i="214"/>
  <c r="Y17" i="214"/>
  <c r="Q39" i="221" s="1"/>
  <c r="Y12" i="214"/>
  <c r="Q7" i="221" s="1"/>
  <c r="Y14" i="214"/>
  <c r="Q9" i="221" s="1"/>
  <c r="Y16" i="214"/>
  <c r="Q17" i="221" s="1"/>
  <c r="Z10" i="214"/>
  <c r="Z15" i="214" s="1"/>
  <c r="R11" i="221" s="1"/>
  <c r="K42" i="226"/>
  <c r="X13" i="226"/>
  <c r="X16" i="226" s="1"/>
  <c r="F52" i="226" s="1"/>
  <c r="F46" i="228"/>
  <c r="Z6" i="226"/>
  <c r="AA6" i="226" s="1"/>
  <c r="AB6" i="226" s="1"/>
  <c r="AC6" i="226" s="1"/>
  <c r="AD6" i="226" s="1"/>
  <c r="AE6" i="226" s="1"/>
  <c r="AF6" i="226" s="1"/>
  <c r="AG6" i="226" s="1"/>
  <c r="AH6" i="226" s="1"/>
  <c r="AI6" i="226" s="1"/>
  <c r="AJ6" i="226" s="1"/>
  <c r="AK6" i="226" s="1"/>
  <c r="AL6" i="226" s="1"/>
  <c r="AM6" i="226" s="1"/>
  <c r="AN6" i="226" s="1"/>
  <c r="AO6" i="226" s="1"/>
  <c r="AP6" i="226" s="1"/>
  <c r="AQ6" i="226" s="1"/>
  <c r="AR6" i="226" s="1"/>
  <c r="AS6" i="226" s="1"/>
  <c r="AT6" i="226" s="1"/>
  <c r="AU6" i="226" s="1"/>
  <c r="AV6" i="226" s="1"/>
  <c r="AW6" i="226" s="1"/>
  <c r="AX6" i="226" s="1"/>
  <c r="AY6" i="226" s="1"/>
  <c r="AZ6" i="226" s="1"/>
  <c r="BA6" i="226" s="1"/>
  <c r="BB6" i="226" s="1"/>
  <c r="BC6" i="226" s="1"/>
  <c r="BD6" i="226" s="1"/>
  <c r="BE6" i="226" s="1"/>
  <c r="BF6" i="226" s="1"/>
  <c r="BG6" i="226" s="1"/>
  <c r="BH6" i="226" s="1"/>
  <c r="BI6" i="226" s="1"/>
  <c r="BJ6" i="226" s="1"/>
  <c r="BK6" i="226" s="1"/>
  <c r="BL6" i="226" s="1"/>
  <c r="BM6" i="226" s="1"/>
  <c r="BN6" i="226" s="1"/>
  <c r="BO6" i="226" s="1"/>
  <c r="BP6" i="226" s="1"/>
  <c r="BQ6" i="226" s="1"/>
  <c r="BR6" i="226" s="1"/>
  <c r="BS6" i="226" s="1"/>
  <c r="Y13" i="226"/>
  <c r="Y16" i="226" s="1"/>
  <c r="F53" i="226" s="1"/>
  <c r="F44" i="228"/>
  <c r="F45" i="228"/>
  <c r="N39" i="228"/>
  <c r="C40" i="228" s="1"/>
  <c r="K40" i="228" s="1"/>
  <c r="M40" i="228" s="1"/>
  <c r="X6" i="228"/>
  <c r="Y6" i="228" s="1"/>
  <c r="Z6" i="228" s="1"/>
  <c r="AA6" i="228" s="1"/>
  <c r="AB6" i="228" s="1"/>
  <c r="AC6" i="228" s="1"/>
  <c r="AD6" i="228" s="1"/>
  <c r="AE6" i="228" s="1"/>
  <c r="AF6" i="228" s="1"/>
  <c r="AG6" i="228" s="1"/>
  <c r="AH6" i="228" s="1"/>
  <c r="AI6" i="228" s="1"/>
  <c r="AJ6" i="228" s="1"/>
  <c r="AK6" i="228" s="1"/>
  <c r="AL6" i="228" s="1"/>
  <c r="AM6" i="228" s="1"/>
  <c r="AN6" i="228" s="1"/>
  <c r="AO6" i="228" s="1"/>
  <c r="AP6" i="228" s="1"/>
  <c r="AQ6" i="228" s="1"/>
  <c r="AR6" i="228" s="1"/>
  <c r="AS6" i="228" s="1"/>
  <c r="AT6" i="228" s="1"/>
  <c r="AU6" i="228" s="1"/>
  <c r="AV6" i="228" s="1"/>
  <c r="AW6" i="228" s="1"/>
  <c r="AX6" i="228" s="1"/>
  <c r="AY6" i="228" s="1"/>
  <c r="AZ6" i="228" s="1"/>
  <c r="BA6" i="228" s="1"/>
  <c r="BB6" i="228" s="1"/>
  <c r="BC6" i="228" s="1"/>
  <c r="BD6" i="228" s="1"/>
  <c r="BE6" i="228" s="1"/>
  <c r="BF6" i="228" s="1"/>
  <c r="BG6" i="228" s="1"/>
  <c r="BH6" i="228" s="1"/>
  <c r="BI6" i="228" s="1"/>
  <c r="BJ6" i="228" s="1"/>
  <c r="BK6" i="228" s="1"/>
  <c r="BL6" i="228" s="1"/>
  <c r="BM6" i="228" s="1"/>
  <c r="BN6" i="228" s="1"/>
  <c r="BO6" i="228" s="1"/>
  <c r="BP6" i="228" s="1"/>
  <c r="BQ6" i="228" s="1"/>
  <c r="BR6" i="228" s="1"/>
  <c r="BS6" i="228" s="1"/>
  <c r="W19" i="228"/>
  <c r="W20" i="228" s="1"/>
  <c r="F49" i="228" s="1"/>
  <c r="AR15" i="226"/>
  <c r="AR14" i="226"/>
  <c r="AR13" i="226"/>
  <c r="AT14" i="228"/>
  <c r="AT17" i="228"/>
  <c r="AT13" i="228"/>
  <c r="AT12" i="228"/>
  <c r="AU10" i="228"/>
  <c r="AT16" i="228"/>
  <c r="AT18" i="228"/>
  <c r="AT19" i="228"/>
  <c r="AT15" i="228"/>
  <c r="AS20" i="228"/>
  <c r="F69" i="228" s="1"/>
  <c r="J70" i="228"/>
  <c r="B71" i="228"/>
  <c r="I71" i="228" s="1"/>
  <c r="AQ16" i="226"/>
  <c r="F71" i="226" s="1"/>
  <c r="AR12" i="226"/>
  <c r="AS10" i="226"/>
  <c r="B72" i="226"/>
  <c r="I72" i="226" s="1"/>
  <c r="J71" i="226"/>
  <c r="U34" i="214"/>
  <c r="F55" i="214" s="1"/>
  <c r="W6" i="214"/>
  <c r="X6" i="214" s="1"/>
  <c r="Y6" i="214" s="1"/>
  <c r="Z6" i="214" s="1"/>
  <c r="AA6" i="214" s="1"/>
  <c r="AB6" i="214" s="1"/>
  <c r="AC6" i="214" s="1"/>
  <c r="AD6" i="214" s="1"/>
  <c r="AE6" i="214" s="1"/>
  <c r="AF6" i="214" s="1"/>
  <c r="AG6" i="214" s="1"/>
  <c r="AH6" i="214" s="1"/>
  <c r="AI6" i="214" s="1"/>
  <c r="AJ6" i="214" s="1"/>
  <c r="AK6" i="214" s="1"/>
  <c r="AL6" i="214" s="1"/>
  <c r="AM6" i="214" s="1"/>
  <c r="AN6" i="214" s="1"/>
  <c r="AO6" i="214" s="1"/>
  <c r="AP6" i="214" s="1"/>
  <c r="AQ6" i="214" s="1"/>
  <c r="AR6" i="214" s="1"/>
  <c r="AS6" i="214" s="1"/>
  <c r="AT6" i="214" s="1"/>
  <c r="AU6" i="214" s="1"/>
  <c r="AV6" i="214" s="1"/>
  <c r="AW6" i="214" s="1"/>
  <c r="AX6" i="214" s="1"/>
  <c r="AY6" i="214" s="1"/>
  <c r="AZ6" i="214" s="1"/>
  <c r="BA6" i="214" s="1"/>
  <c r="BB6" i="214" s="1"/>
  <c r="BC6" i="214" s="1"/>
  <c r="BD6" i="214" s="1"/>
  <c r="BE6" i="214" s="1"/>
  <c r="BF6" i="214" s="1"/>
  <c r="BG6" i="214" s="1"/>
  <c r="BH6" i="214" s="1"/>
  <c r="BI6" i="214" s="1"/>
  <c r="BJ6" i="214" s="1"/>
  <c r="BK6" i="214" s="1"/>
  <c r="BL6" i="214" s="1"/>
  <c r="BM6" i="214" s="1"/>
  <c r="BN6" i="214" s="1"/>
  <c r="BO6" i="214" s="1"/>
  <c r="BP6" i="214" s="1"/>
  <c r="BQ6" i="214" s="1"/>
  <c r="BR6" i="214" s="1"/>
  <c r="BS6" i="214" s="1"/>
  <c r="V34" i="214"/>
  <c r="F58" i="214" s="1"/>
  <c r="B61" i="214"/>
  <c r="L42" i="226" l="1"/>
  <c r="M42" i="226"/>
  <c r="Q26" i="221" a="1"/>
  <c r="Q26" i="221" s="1"/>
  <c r="Q34" i="221" a="1"/>
  <c r="Q34" i="221" s="1"/>
  <c r="Q32" i="221" a="1"/>
  <c r="Q32" i="221" s="1"/>
  <c r="K52" i="221"/>
  <c r="J54" i="221"/>
  <c r="Q24" i="221" a="1"/>
  <c r="Q24" i="221" s="1"/>
  <c r="Q51" i="221"/>
  <c r="Q30" i="221" a="1"/>
  <c r="Q30" i="221" s="1"/>
  <c r="P28" i="221" a="1"/>
  <c r="P28" i="221" s="1"/>
  <c r="Q36" i="221" a="1"/>
  <c r="Q36" i="221" s="1"/>
  <c r="Q38" i="221" a="1"/>
  <c r="Q38" i="221" s="1"/>
  <c r="I49" i="226"/>
  <c r="J48" i="226"/>
  <c r="I48" i="228"/>
  <c r="J47" i="228"/>
  <c r="Y34" i="214"/>
  <c r="F59" i="214" s="1"/>
  <c r="Z14" i="214"/>
  <c r="R9" i="221" s="1"/>
  <c r="Z12" i="214"/>
  <c r="R7" i="221" s="1"/>
  <c r="Z20" i="214"/>
  <c r="R25" i="221" s="1"/>
  <c r="Z18" i="214"/>
  <c r="R23" i="221" s="1"/>
  <c r="Z16" i="214"/>
  <c r="R17" i="221" s="1"/>
  <c r="Z21" i="214"/>
  <c r="R27" i="221" s="1"/>
  <c r="Z19" i="214"/>
  <c r="R19" i="221" s="1"/>
  <c r="AA10" i="214"/>
  <c r="AA14" i="214" s="1"/>
  <c r="S9" i="221" s="1"/>
  <c r="Z22" i="214"/>
  <c r="R21" i="221" s="1"/>
  <c r="Z13" i="214"/>
  <c r="R29" i="221" s="1"/>
  <c r="N42" i="226"/>
  <c r="C43" i="226" s="1"/>
  <c r="K43" i="226" s="1"/>
  <c r="Z17" i="214"/>
  <c r="R39" i="221" s="1"/>
  <c r="F47" i="228"/>
  <c r="F48" i="228"/>
  <c r="F56" i="214"/>
  <c r="F57" i="214"/>
  <c r="L40" i="228"/>
  <c r="N40" i="228" s="1"/>
  <c r="C41" i="228" s="1"/>
  <c r="K41" i="228" s="1"/>
  <c r="AS15" i="226"/>
  <c r="AS14" i="226"/>
  <c r="AS13" i="226"/>
  <c r="B72" i="228"/>
  <c r="I72" i="228" s="1"/>
  <c r="J71" i="228"/>
  <c r="AU14" i="228"/>
  <c r="AU17" i="228"/>
  <c r="AU13" i="228"/>
  <c r="AU12" i="228"/>
  <c r="AU16" i="228"/>
  <c r="AU18" i="228"/>
  <c r="AV10" i="228"/>
  <c r="AU19" i="228"/>
  <c r="AU15" i="228"/>
  <c r="AT20" i="228"/>
  <c r="F70" i="228" s="1"/>
  <c r="AR16" i="226"/>
  <c r="F72" i="226" s="1"/>
  <c r="AS12" i="226"/>
  <c r="AT10" i="226"/>
  <c r="J72" i="226"/>
  <c r="B73" i="226"/>
  <c r="I73" i="226" s="1"/>
  <c r="B62" i="214"/>
  <c r="L52" i="221" l="1"/>
  <c r="K54" i="221"/>
  <c r="R51" i="221"/>
  <c r="R38" i="221" a="1"/>
  <c r="R38" i="221" s="1"/>
  <c r="Q28" i="221" a="1"/>
  <c r="Q28" i="221" s="1"/>
  <c r="R26" i="221" a="1"/>
  <c r="R26" i="221" s="1"/>
  <c r="R34" i="221" a="1"/>
  <c r="R34" i="221" s="1"/>
  <c r="R30" i="221" a="1"/>
  <c r="R30" i="221" s="1"/>
  <c r="R36" i="221" a="1"/>
  <c r="R36" i="221" s="1"/>
  <c r="R40" i="221" a="1"/>
  <c r="R40" i="221" s="1"/>
  <c r="I50" i="226"/>
  <c r="J49" i="226"/>
  <c r="I49" i="228"/>
  <c r="J48" i="228"/>
  <c r="AA15" i="214"/>
  <c r="S11" i="221" s="1"/>
  <c r="AA17" i="214"/>
  <c r="S39" i="221" s="1"/>
  <c r="AA13" i="214"/>
  <c r="S29" i="221" s="1"/>
  <c r="AB10" i="214"/>
  <c r="AB18" i="214" s="1"/>
  <c r="T23" i="221" s="1"/>
  <c r="Z34" i="214"/>
  <c r="F60" i="214" s="1"/>
  <c r="AA19" i="214"/>
  <c r="S19" i="221" s="1"/>
  <c r="AA21" i="214"/>
  <c r="S27" i="221" s="1"/>
  <c r="AA12" i="214"/>
  <c r="S7" i="221" s="1"/>
  <c r="AA22" i="214"/>
  <c r="S21" i="221" s="1"/>
  <c r="AA18" i="214"/>
  <c r="S23" i="221" s="1"/>
  <c r="AA16" i="214"/>
  <c r="S17" i="221" s="1"/>
  <c r="AA20" i="214"/>
  <c r="S25" i="221" s="1"/>
  <c r="M43" i="226"/>
  <c r="L43" i="226"/>
  <c r="M41" i="228"/>
  <c r="L41" i="228"/>
  <c r="AT15" i="226"/>
  <c r="AT14" i="226"/>
  <c r="AT13" i="226"/>
  <c r="AV14" i="228"/>
  <c r="AV17" i="228"/>
  <c r="AV13" i="228"/>
  <c r="AV16" i="228"/>
  <c r="AV12" i="228"/>
  <c r="AV19" i="228"/>
  <c r="AV18" i="228"/>
  <c r="AW10" i="228"/>
  <c r="AV15" i="228"/>
  <c r="AU20" i="228"/>
  <c r="F71" i="228" s="1"/>
  <c r="J72" i="228"/>
  <c r="AT12" i="226"/>
  <c r="AU10" i="226"/>
  <c r="AS16" i="226"/>
  <c r="F73" i="226" s="1"/>
  <c r="B74" i="226"/>
  <c r="I74" i="226" s="1"/>
  <c r="J73" i="226"/>
  <c r="AB17" i="214"/>
  <c r="T39" i="221" s="1"/>
  <c r="AB19" i="214"/>
  <c r="T19" i="221" s="1"/>
  <c r="B63" i="214"/>
  <c r="S51" i="221" l="1"/>
  <c r="R28" i="221" a="1"/>
  <c r="R28" i="221" s="1"/>
  <c r="R32" i="221" s="1" a="1"/>
  <c r="R32" i="221" s="1"/>
  <c r="S38" i="221" a="1"/>
  <c r="S38" i="221" s="1"/>
  <c r="S40" i="221" a="1"/>
  <c r="S40" i="221" s="1"/>
  <c r="S34" i="221" a="1"/>
  <c r="S34" i="221" s="1"/>
  <c r="S30" i="221" a="1"/>
  <c r="S30" i="221" s="1"/>
  <c r="S36" i="221" a="1"/>
  <c r="S36" i="221" s="1"/>
  <c r="M52" i="221"/>
  <c r="L54" i="221"/>
  <c r="I51" i="226"/>
  <c r="J50" i="226"/>
  <c r="AB22" i="214"/>
  <c r="T21" i="221" s="1"/>
  <c r="AB13" i="214"/>
  <c r="T29" i="221" s="1"/>
  <c r="AB20" i="214"/>
  <c r="T25" i="221" s="1"/>
  <c r="AB15" i="214"/>
  <c r="T11" i="221" s="1"/>
  <c r="I50" i="228"/>
  <c r="J49" i="228"/>
  <c r="AC10" i="214"/>
  <c r="AC16" i="214" s="1"/>
  <c r="U17" i="221" s="1"/>
  <c r="AB21" i="214"/>
  <c r="T27" i="221" s="1"/>
  <c r="AB12" i="214"/>
  <c r="T7" i="221" s="1"/>
  <c r="AB14" i="214"/>
  <c r="T9" i="221" s="1"/>
  <c r="AB16" i="214"/>
  <c r="T17" i="221" s="1"/>
  <c r="AA34" i="214"/>
  <c r="F61" i="214" s="1"/>
  <c r="N43" i="226"/>
  <c r="C44" i="226" s="1"/>
  <c r="K44" i="226" s="1"/>
  <c r="M44" i="226" s="1"/>
  <c r="N41" i="228"/>
  <c r="C42" i="228" s="1"/>
  <c r="K42" i="228" s="1"/>
  <c r="L42" i="228" s="1"/>
  <c r="AU15" i="226"/>
  <c r="AU14" i="226"/>
  <c r="AU13" i="226"/>
  <c r="AW12" i="228"/>
  <c r="AW17" i="228"/>
  <c r="AW13" i="228"/>
  <c r="AX10" i="228"/>
  <c r="AW15" i="228"/>
  <c r="AW19" i="228"/>
  <c r="AW16" i="228"/>
  <c r="AW18" i="228"/>
  <c r="AW14" i="228"/>
  <c r="AV20" i="228"/>
  <c r="F72" i="228" s="1"/>
  <c r="AV10" i="226"/>
  <c r="AU12" i="226"/>
  <c r="AT16" i="226"/>
  <c r="F74" i="226" s="1"/>
  <c r="J74" i="226"/>
  <c r="B64" i="214"/>
  <c r="N52" i="221" l="1"/>
  <c r="M54" i="221"/>
  <c r="T51" i="221"/>
  <c r="T38" i="221" a="1"/>
  <c r="T38" i="221" s="1"/>
  <c r="T30" i="221" a="1"/>
  <c r="T30" i="221" s="1"/>
  <c r="T34" i="221" a="1"/>
  <c r="T34" i="221" s="1"/>
  <c r="T40" i="221" a="1"/>
  <c r="T40" i="221" s="1"/>
  <c r="T36" i="221" a="1"/>
  <c r="T36" i="221" s="1"/>
  <c r="S28" i="221" a="1"/>
  <c r="S28" i="221" s="1"/>
  <c r="S32" i="221" s="1" a="1"/>
  <c r="S32" i="221" s="1"/>
  <c r="AC20" i="214"/>
  <c r="U25" i="221" s="1"/>
  <c r="AC17" i="214"/>
  <c r="U39" i="221" s="1"/>
  <c r="I52" i="226"/>
  <c r="J51" i="226"/>
  <c r="I51" i="228"/>
  <c r="J50" i="228"/>
  <c r="AB34" i="214"/>
  <c r="F62" i="214" s="1"/>
  <c r="AC13" i="214"/>
  <c r="U29" i="221" s="1"/>
  <c r="AC19" i="214"/>
  <c r="U19" i="221" s="1"/>
  <c r="AD10" i="214"/>
  <c r="AD15" i="214" s="1"/>
  <c r="V11" i="221" s="1"/>
  <c r="AC22" i="214"/>
  <c r="U21" i="221" s="1"/>
  <c r="AC14" i="214"/>
  <c r="U9" i="221" s="1"/>
  <c r="AC21" i="214"/>
  <c r="U27" i="221" s="1"/>
  <c r="AC12" i="214"/>
  <c r="U7" i="221" s="1"/>
  <c r="AC15" i="214"/>
  <c r="U11" i="221" s="1"/>
  <c r="AC18" i="214"/>
  <c r="U23" i="221" s="1"/>
  <c r="L44" i="226"/>
  <c r="N44" i="226" s="1"/>
  <c r="C45" i="226" s="1"/>
  <c r="M42" i="228"/>
  <c r="N42" i="228" s="1"/>
  <c r="C43" i="228" s="1"/>
  <c r="K43" i="228" s="1"/>
  <c r="AV15" i="226"/>
  <c r="AV14" i="226"/>
  <c r="AV13" i="226"/>
  <c r="AX17" i="228"/>
  <c r="AX13" i="228"/>
  <c r="AX12" i="228"/>
  <c r="AX19" i="228"/>
  <c r="AY10" i="228"/>
  <c r="AX16" i="228"/>
  <c r="AX18" i="228"/>
  <c r="AX14" i="228"/>
  <c r="AX15" i="228"/>
  <c r="AW20" i="228"/>
  <c r="AU16" i="226"/>
  <c r="AW10" i="226"/>
  <c r="AV12" i="226"/>
  <c r="B65" i="214"/>
  <c r="U51" i="221" l="1"/>
  <c r="U40" i="221" a="1"/>
  <c r="U40" i="221" s="1"/>
  <c r="T28" i="221" a="1"/>
  <c r="T28" i="221" s="1"/>
  <c r="T32" i="221" s="1" a="1"/>
  <c r="T32" i="221" s="1"/>
  <c r="U36" i="221" a="1"/>
  <c r="U36" i="221" s="1"/>
  <c r="U38" i="221" a="1"/>
  <c r="U38" i="221" s="1"/>
  <c r="U34" i="221" a="1"/>
  <c r="U34" i="221" s="1"/>
  <c r="O52" i="221"/>
  <c r="N54" i="221"/>
  <c r="AE10" i="214"/>
  <c r="AE21" i="214" s="1"/>
  <c r="W27" i="221" s="1"/>
  <c r="AD20" i="214"/>
  <c r="V25" i="221" s="1"/>
  <c r="AD18" i="214"/>
  <c r="V23" i="221" s="1"/>
  <c r="AD16" i="214"/>
  <c r="V17" i="221" s="1"/>
  <c r="AD13" i="214"/>
  <c r="V29" i="221" s="1"/>
  <c r="AD21" i="214"/>
  <c r="V27" i="221" s="1"/>
  <c r="AD14" i="214"/>
  <c r="V9" i="221" s="1"/>
  <c r="I53" i="226"/>
  <c r="J52" i="226"/>
  <c r="AD17" i="214"/>
  <c r="V39" i="221" s="1"/>
  <c r="AD22" i="214"/>
  <c r="V21" i="221" s="1"/>
  <c r="AD19" i="214"/>
  <c r="V19" i="221" s="1"/>
  <c r="AD12" i="214"/>
  <c r="V7" i="221" s="1"/>
  <c r="I52" i="228"/>
  <c r="J51" i="228"/>
  <c r="AC34" i="214"/>
  <c r="F63" i="214" s="1"/>
  <c r="K45" i="226"/>
  <c r="L45" i="226" s="1"/>
  <c r="AV16" i="226"/>
  <c r="M43" i="228"/>
  <c r="L43" i="228"/>
  <c r="AW15" i="226"/>
  <c r="AW13" i="226"/>
  <c r="AW14" i="226"/>
  <c r="AY16" i="228"/>
  <c r="AY13" i="228"/>
  <c r="AY12" i="228"/>
  <c r="AY18" i="228"/>
  <c r="AY19" i="228"/>
  <c r="AY17" i="228"/>
  <c r="AY14" i="228"/>
  <c r="AY15" i="228"/>
  <c r="AZ10" i="228"/>
  <c r="AX20" i="228"/>
  <c r="AW12" i="226"/>
  <c r="AX10" i="226"/>
  <c r="AF10" i="214"/>
  <c r="B66" i="214"/>
  <c r="P52" i="221" l="1"/>
  <c r="O54" i="221"/>
  <c r="V51" i="221"/>
  <c r="V30" i="221" a="1"/>
  <c r="V30" i="221" s="1"/>
  <c r="U28" i="221" a="1"/>
  <c r="U28" i="221" s="1"/>
  <c r="V32" i="221" a="1"/>
  <c r="V32" i="221" s="1"/>
  <c r="V34" i="221" a="1"/>
  <c r="V34" i="221" s="1"/>
  <c r="V42" i="221" a="1"/>
  <c r="V42" i="221" s="1"/>
  <c r="V38" i="221" a="1"/>
  <c r="V38" i="221" s="1"/>
  <c r="V36" i="221" a="1"/>
  <c r="V36" i="221" s="1"/>
  <c r="V40" i="221" a="1"/>
  <c r="V40" i="221" s="1"/>
  <c r="AE17" i="214"/>
  <c r="W39" i="221" s="1"/>
  <c r="AE20" i="214"/>
  <c r="W25" i="221" s="1"/>
  <c r="AE19" i="214"/>
  <c r="W19" i="221" s="1"/>
  <c r="AE18" i="214"/>
  <c r="W23" i="221" s="1"/>
  <c r="AE14" i="214"/>
  <c r="W9" i="221" s="1"/>
  <c r="AE15" i="214"/>
  <c r="W11" i="221" s="1"/>
  <c r="AE16" i="214"/>
  <c r="W17" i="221" s="1"/>
  <c r="AE13" i="214"/>
  <c r="W29" i="221" s="1"/>
  <c r="AE22" i="214"/>
  <c r="W21" i="221" s="1"/>
  <c r="AE12" i="214"/>
  <c r="W7" i="221" s="1"/>
  <c r="AD34" i="214"/>
  <c r="F64" i="214" s="1"/>
  <c r="I54" i="226"/>
  <c r="J53" i="226"/>
  <c r="I53" i="228"/>
  <c r="J52" i="228"/>
  <c r="M45" i="226"/>
  <c r="N45" i="226" s="1"/>
  <c r="C46" i="226" s="1"/>
  <c r="N43" i="228"/>
  <c r="C44" i="228" s="1"/>
  <c r="K44" i="228" s="1"/>
  <c r="AX13" i="226"/>
  <c r="AX15" i="226"/>
  <c r="AX14" i="226"/>
  <c r="AY20" i="228"/>
  <c r="AZ13" i="228"/>
  <c r="AZ12" i="228"/>
  <c r="AZ16" i="228"/>
  <c r="AZ18" i="228"/>
  <c r="AZ14" i="228"/>
  <c r="AZ17" i="228"/>
  <c r="AZ19" i="228"/>
  <c r="BA10" i="228"/>
  <c r="AZ15" i="228"/>
  <c r="AW16" i="226"/>
  <c r="AY10" i="226"/>
  <c r="AX12" i="226"/>
  <c r="AF19" i="214"/>
  <c r="X19" i="221" s="1"/>
  <c r="AF13" i="214"/>
  <c r="X29" i="221" s="1"/>
  <c r="AF21" i="214"/>
  <c r="X27" i="221" s="1"/>
  <c r="AF16" i="214"/>
  <c r="X17" i="221" s="1"/>
  <c r="AF15" i="214"/>
  <c r="X11" i="221" s="1"/>
  <c r="AF14" i="214"/>
  <c r="X9" i="221" s="1"/>
  <c r="AF18" i="214"/>
  <c r="X23" i="221" s="1"/>
  <c r="AF12" i="214"/>
  <c r="X7" i="221" s="1"/>
  <c r="AF20" i="214"/>
  <c r="X25" i="221" s="1"/>
  <c r="AF17" i="214"/>
  <c r="X39" i="221" s="1"/>
  <c r="AF22" i="214"/>
  <c r="X21" i="221" s="1"/>
  <c r="B67" i="214"/>
  <c r="AG10" i="214"/>
  <c r="U32" i="221" l="1" a="1"/>
  <c r="U32" i="221" s="1"/>
  <c r="U30" i="221" a="1"/>
  <c r="U30" i="221" s="1"/>
  <c r="W51" i="221"/>
  <c r="W34" i="221" a="1"/>
  <c r="W34" i="221" s="1"/>
  <c r="W42" i="221" a="1"/>
  <c r="W42" i="221" s="1"/>
  <c r="W32" i="221" a="1"/>
  <c r="W32" i="221" s="1"/>
  <c r="W36" i="221" a="1"/>
  <c r="W36" i="221" s="1"/>
  <c r="W30" i="221" a="1"/>
  <c r="W30" i="221" s="1"/>
  <c r="W40" i="221" a="1"/>
  <c r="W40" i="221" s="1"/>
  <c r="W38" i="221" a="1"/>
  <c r="W38" i="221" s="1"/>
  <c r="X51" i="221"/>
  <c r="X42" i="221" a="1"/>
  <c r="X42" i="221" s="1"/>
  <c r="X34" i="221" a="1"/>
  <c r="X34" i="221" s="1"/>
  <c r="X36" i="221" a="1"/>
  <c r="X36" i="221" s="1"/>
  <c r="X40" i="221" a="1"/>
  <c r="X40" i="221" s="1"/>
  <c r="X38" i="221" a="1"/>
  <c r="X38" i="221" s="1"/>
  <c r="X30" i="221" a="1"/>
  <c r="X30" i="221" s="1"/>
  <c r="X32" i="221" a="1"/>
  <c r="X32" i="221" s="1"/>
  <c r="Q52" i="221"/>
  <c r="P54" i="221"/>
  <c r="AE34" i="214"/>
  <c r="F65" i="214" s="1"/>
  <c r="I55" i="226"/>
  <c r="J54" i="226"/>
  <c r="I54" i="228"/>
  <c r="J53" i="228"/>
  <c r="K46" i="226"/>
  <c r="M46" i="226" s="1"/>
  <c r="M44" i="228"/>
  <c r="L44" i="228"/>
  <c r="AY13" i="226"/>
  <c r="AY15" i="226"/>
  <c r="AY14" i="226"/>
  <c r="AZ20" i="228"/>
  <c r="BA13" i="228"/>
  <c r="BA19" i="228"/>
  <c r="BB10" i="228"/>
  <c r="BA12" i="228"/>
  <c r="BA16" i="228"/>
  <c r="BA15" i="228"/>
  <c r="BA18" i="228"/>
  <c r="BA17" i="228"/>
  <c r="BA14" i="228"/>
  <c r="AX16" i="226"/>
  <c r="AY12" i="226"/>
  <c r="AZ10" i="226"/>
  <c r="AF34" i="214"/>
  <c r="F66" i="214" s="1"/>
  <c r="AG12" i="214"/>
  <c r="Y7" i="221" s="1"/>
  <c r="AG13" i="214"/>
  <c r="Y29" i="221" s="1"/>
  <c r="AG14" i="214"/>
  <c r="Y9" i="221" s="1"/>
  <c r="AG15" i="214"/>
  <c r="Y11" i="221" s="1"/>
  <c r="AG16" i="214"/>
  <c r="Y17" i="221" s="1"/>
  <c r="AG17" i="214"/>
  <c r="Y39" i="221" s="1"/>
  <c r="AG18" i="214"/>
  <c r="Y23" i="221" s="1"/>
  <c r="AG19" i="214"/>
  <c r="Y19" i="221" s="1"/>
  <c r="AG20" i="214"/>
  <c r="Y25" i="221" s="1"/>
  <c r="AG21" i="214"/>
  <c r="Y27" i="221" s="1"/>
  <c r="AG22" i="214"/>
  <c r="Y21" i="221" s="1"/>
  <c r="AH10" i="214"/>
  <c r="B68" i="214"/>
  <c r="R52" i="221" l="1"/>
  <c r="Q54" i="221"/>
  <c r="Y51" i="221"/>
  <c r="Y34" i="221" a="1"/>
  <c r="Y34" i="221" s="1"/>
  <c r="Y42" i="221" a="1"/>
  <c r="Y42" i="221" s="1"/>
  <c r="Y40" i="221" a="1"/>
  <c r="Y40" i="221" s="1"/>
  <c r="Y38" i="221" a="1"/>
  <c r="Y38" i="221" s="1"/>
  <c r="Y36" i="221" a="1"/>
  <c r="Y36" i="221" s="1"/>
  <c r="I56" i="226"/>
  <c r="J55" i="226"/>
  <c r="I55" i="228"/>
  <c r="J54" i="228"/>
  <c r="L46" i="226"/>
  <c r="N46" i="226" s="1"/>
  <c r="C47" i="226" s="1"/>
  <c r="K47" i="226" s="1"/>
  <c r="N44" i="228"/>
  <c r="C45" i="228" s="1"/>
  <c r="K45" i="228" s="1"/>
  <c r="L45" i="228" s="1"/>
  <c r="AZ13" i="226"/>
  <c r="AZ15" i="226"/>
  <c r="AZ14" i="226"/>
  <c r="BB12" i="228"/>
  <c r="BB16" i="228"/>
  <c r="BB19" i="228"/>
  <c r="BC10" i="228"/>
  <c r="BB17" i="228"/>
  <c r="BB13" i="228"/>
  <c r="BB15" i="228"/>
  <c r="BB14" i="228"/>
  <c r="BB18" i="228"/>
  <c r="BA20" i="228"/>
  <c r="AY16" i="226"/>
  <c r="AZ12" i="226"/>
  <c r="BA10" i="226"/>
  <c r="AG34" i="214"/>
  <c r="F67" i="214" s="1"/>
  <c r="AH12" i="214"/>
  <c r="Z7" i="221" s="1"/>
  <c r="AH13" i="214"/>
  <c r="Z29" i="221" s="1"/>
  <c r="AH14" i="214"/>
  <c r="Z9" i="221" s="1"/>
  <c r="AH15" i="214"/>
  <c r="Z11" i="221" s="1"/>
  <c r="AH16" i="214"/>
  <c r="Z17" i="221" s="1"/>
  <c r="AH17" i="214"/>
  <c r="Z39" i="221" s="1"/>
  <c r="AH18" i="214"/>
  <c r="Z23" i="221" s="1"/>
  <c r="AH19" i="214"/>
  <c r="Z19" i="221" s="1"/>
  <c r="AH20" i="214"/>
  <c r="Z25" i="221" s="1"/>
  <c r="AH21" i="214"/>
  <c r="Z27" i="221" s="1"/>
  <c r="AH22" i="214"/>
  <c r="Z21" i="221" s="1"/>
  <c r="B69" i="214"/>
  <c r="AI10" i="214"/>
  <c r="Z51" i="221" l="1"/>
  <c r="Z40" i="221" a="1"/>
  <c r="Z40" i="221" s="1"/>
  <c r="Z36" i="221" a="1"/>
  <c r="Z36" i="221" s="1"/>
  <c r="Z38" i="221" a="1"/>
  <c r="Z38" i="221" s="1"/>
  <c r="Z34" i="221" a="1"/>
  <c r="Z34" i="221" s="1"/>
  <c r="Z42" i="221" a="1"/>
  <c r="Z42" i="221" s="1"/>
  <c r="S52" i="221"/>
  <c r="R54" i="221"/>
  <c r="I57" i="226"/>
  <c r="J56" i="226"/>
  <c r="I56" i="228"/>
  <c r="J55" i="228"/>
  <c r="L47" i="226"/>
  <c r="M47" i="226"/>
  <c r="M45" i="228"/>
  <c r="N45" i="228" s="1"/>
  <c r="C46" i="228" s="1"/>
  <c r="BA13" i="226"/>
  <c r="BA15" i="226"/>
  <c r="BA14" i="226"/>
  <c r="BB20" i="228"/>
  <c r="BC12" i="228"/>
  <c r="BC16" i="228"/>
  <c r="BC19" i="228"/>
  <c r="BD10" i="228"/>
  <c r="BC18" i="228"/>
  <c r="BC13" i="228"/>
  <c r="BC14" i="228"/>
  <c r="BC15" i="228"/>
  <c r="BC17" i="228"/>
  <c r="BA12" i="226"/>
  <c r="BB10" i="226"/>
  <c r="AZ16" i="226"/>
  <c r="AH34" i="214"/>
  <c r="F68" i="214" s="1"/>
  <c r="AI12" i="214"/>
  <c r="AA7" i="221" s="1"/>
  <c r="AI13" i="214"/>
  <c r="AA29" i="221" s="1"/>
  <c r="AI14" i="214"/>
  <c r="AA9" i="221" s="1"/>
  <c r="AI15" i="214"/>
  <c r="AA11" i="221" s="1"/>
  <c r="AI19" i="214"/>
  <c r="AA19" i="221" s="1"/>
  <c r="AI21" i="214"/>
  <c r="AA27" i="221" s="1"/>
  <c r="AI18" i="214"/>
  <c r="AA23" i="221" s="1"/>
  <c r="AI16" i="214"/>
  <c r="AA17" i="221" s="1"/>
  <c r="AI20" i="214"/>
  <c r="AA25" i="221" s="1"/>
  <c r="AI17" i="214"/>
  <c r="AA39" i="221" s="1"/>
  <c r="AI22" i="214"/>
  <c r="AA21" i="221" s="1"/>
  <c r="B70" i="214"/>
  <c r="AJ10" i="214"/>
  <c r="T52" i="221" l="1"/>
  <c r="S54" i="221"/>
  <c r="AA51" i="221"/>
  <c r="AA50" i="221" a="1"/>
  <c r="AA50" i="221" s="1"/>
  <c r="AA38" i="221" a="1"/>
  <c r="AA38" i="221" s="1"/>
  <c r="AA46" i="221" a="1"/>
  <c r="AA46" i="221" s="1"/>
  <c r="AA34" i="221" a="1"/>
  <c r="AA34" i="221" s="1"/>
  <c r="AA40" i="221" a="1"/>
  <c r="AA40" i="221" s="1"/>
  <c r="AA44" i="221" a="1"/>
  <c r="AA44" i="221" s="1"/>
  <c r="AA42" i="221" a="1"/>
  <c r="AA42" i="221" s="1"/>
  <c r="AA36" i="221" a="1"/>
  <c r="AA36" i="221" s="1"/>
  <c r="AA48" i="221" a="1"/>
  <c r="AA48" i="221" s="1"/>
  <c r="I58" i="226"/>
  <c r="J57" i="226"/>
  <c r="I57" i="228"/>
  <c r="J56" i="228"/>
  <c r="K46" i="228"/>
  <c r="M46" i="228" s="1"/>
  <c r="N47" i="226"/>
  <c r="C48" i="226" s="1"/>
  <c r="BB13" i="226"/>
  <c r="BB15" i="226"/>
  <c r="BB14" i="226"/>
  <c r="BD12" i="228"/>
  <c r="BD15" i="228"/>
  <c r="BD16" i="228"/>
  <c r="BD19" i="228"/>
  <c r="BE10" i="228"/>
  <c r="BD13" i="228"/>
  <c r="BD14" i="228"/>
  <c r="BD17" i="228"/>
  <c r="BD18" i="228"/>
  <c r="BC20" i="228"/>
  <c r="BA16" i="226"/>
  <c r="BB12" i="226"/>
  <c r="BC10" i="226"/>
  <c r="AI34" i="214"/>
  <c r="F69" i="214" s="1"/>
  <c r="AJ15" i="214"/>
  <c r="AB11" i="221" s="1"/>
  <c r="AJ17" i="214"/>
  <c r="AB39" i="221" s="1"/>
  <c r="AJ19" i="214"/>
  <c r="AB19" i="221" s="1"/>
  <c r="AJ13" i="214"/>
  <c r="AB29" i="221" s="1"/>
  <c r="AJ21" i="214"/>
  <c r="AB27" i="221" s="1"/>
  <c r="AJ16" i="214"/>
  <c r="AB17" i="221" s="1"/>
  <c r="AJ22" i="214"/>
  <c r="AB21" i="221" s="1"/>
  <c r="AJ14" i="214"/>
  <c r="AB9" i="221" s="1"/>
  <c r="AJ18" i="214"/>
  <c r="AB23" i="221" s="1"/>
  <c r="AJ12" i="214"/>
  <c r="AB7" i="221" s="1"/>
  <c r="AJ20" i="214"/>
  <c r="AB25" i="221" s="1"/>
  <c r="AK10" i="214"/>
  <c r="B71" i="214"/>
  <c r="AB51" i="221" l="1"/>
  <c r="AB34" i="221" a="1"/>
  <c r="AB34" i="221" s="1"/>
  <c r="AB40" i="221" a="1"/>
  <c r="AB40" i="221" s="1"/>
  <c r="AB48" i="221" a="1"/>
  <c r="AB48" i="221" s="1"/>
  <c r="AB44" i="221" a="1"/>
  <c r="AB44" i="221" s="1"/>
  <c r="AB46" i="221" a="1"/>
  <c r="AB46" i="221" s="1"/>
  <c r="AB50" i="221" a="1"/>
  <c r="AB50" i="221" s="1"/>
  <c r="AB42" i="221" a="1"/>
  <c r="AB42" i="221" s="1"/>
  <c r="AB38" i="221" a="1"/>
  <c r="AB38" i="221" s="1"/>
  <c r="AB36" i="221" a="1"/>
  <c r="AB36" i="221" s="1"/>
  <c r="U52" i="221"/>
  <c r="T54" i="221"/>
  <c r="I59" i="226"/>
  <c r="J58" i="226"/>
  <c r="I58" i="228"/>
  <c r="J57" i="228"/>
  <c r="L46" i="228"/>
  <c r="N46" i="228" s="1"/>
  <c r="C47" i="228" s="1"/>
  <c r="K47" i="228" s="1"/>
  <c r="K48" i="226"/>
  <c r="M48" i="226" s="1"/>
  <c r="BC13" i="226"/>
  <c r="BC15" i="226"/>
  <c r="BC14" i="226"/>
  <c r="BE12" i="228"/>
  <c r="BE16" i="228"/>
  <c r="BE19" i="228"/>
  <c r="BF10" i="228"/>
  <c r="BE15" i="228"/>
  <c r="BE13" i="228"/>
  <c r="BE14" i="228"/>
  <c r="BE17" i="228"/>
  <c r="BE18" i="228"/>
  <c r="BD20" i="228"/>
  <c r="BC12" i="226"/>
  <c r="BD10" i="226"/>
  <c r="BB16" i="226"/>
  <c r="AJ34" i="214"/>
  <c r="F70" i="214" s="1"/>
  <c r="AK12" i="214"/>
  <c r="AC7" i="221" s="1"/>
  <c r="AK13" i="214"/>
  <c r="AC29" i="221" s="1"/>
  <c r="AF29" i="221" s="1"/>
  <c r="AK14" i="214"/>
  <c r="AC9" i="221" s="1"/>
  <c r="AF9" i="221" s="1"/>
  <c r="AK15" i="214"/>
  <c r="AC11" i="221" s="1"/>
  <c r="AF11" i="221" s="1"/>
  <c r="AK16" i="214"/>
  <c r="AC17" i="221" s="1"/>
  <c r="AF17" i="221" s="1"/>
  <c r="AK17" i="214"/>
  <c r="AC39" i="221" s="1"/>
  <c r="AF39" i="221" s="1"/>
  <c r="AK18" i="214"/>
  <c r="AC23" i="221" s="1"/>
  <c r="AF23" i="221" s="1"/>
  <c r="AK19" i="214"/>
  <c r="AC19" i="221" s="1"/>
  <c r="AF19" i="221" s="1"/>
  <c r="AK20" i="214"/>
  <c r="AC25" i="221" s="1"/>
  <c r="AF25" i="221" s="1"/>
  <c r="AK21" i="214"/>
  <c r="AC27" i="221" s="1"/>
  <c r="AF27" i="221" s="1"/>
  <c r="AK22" i="214"/>
  <c r="AC21" i="221" s="1"/>
  <c r="AF21" i="221" s="1"/>
  <c r="B72" i="214"/>
  <c r="AL10" i="214"/>
  <c r="V52" i="221" l="1"/>
  <c r="U54" i="221"/>
  <c r="AC51" i="221"/>
  <c r="AC46" i="221" a="1"/>
  <c r="AC46" i="221" s="1"/>
  <c r="AC34" i="221" a="1"/>
  <c r="AC34" i="221" s="1"/>
  <c r="AC44" i="221" a="1"/>
  <c r="AC44" i="221" s="1"/>
  <c r="AC36" i="221" a="1"/>
  <c r="AC36" i="221" s="1"/>
  <c r="AD36" i="221" a="1"/>
  <c r="AD36" i="221" s="1"/>
  <c r="AC42" i="221" a="1"/>
  <c r="AC42" i="221" s="1"/>
  <c r="AC50" i="221" a="1"/>
  <c r="AC50" i="221" s="1"/>
  <c r="AC40" i="221" a="1"/>
  <c r="AC40" i="221" s="1"/>
  <c r="AC48" i="221" a="1"/>
  <c r="AC48" i="221" s="1"/>
  <c r="AC38" i="221" a="1"/>
  <c r="AC38" i="221" s="1"/>
  <c r="I60" i="226"/>
  <c r="J59" i="226"/>
  <c r="I59" i="228"/>
  <c r="J58" i="228"/>
  <c r="L47" i="228"/>
  <c r="M47" i="228"/>
  <c r="L48" i="226"/>
  <c r="N48" i="226" s="1"/>
  <c r="C49" i="226" s="1"/>
  <c r="BD13" i="226"/>
  <c r="BD15" i="226"/>
  <c r="BD14" i="226"/>
  <c r="BF12" i="228"/>
  <c r="BF18" i="228"/>
  <c r="BF16" i="228"/>
  <c r="BF19" i="228"/>
  <c r="BG10" i="228"/>
  <c r="BF15" i="228"/>
  <c r="BF14" i="228"/>
  <c r="BF17" i="228"/>
  <c r="BF13" i="228"/>
  <c r="BE20" i="228"/>
  <c r="BC16" i="226"/>
  <c r="BD12" i="226"/>
  <c r="BE10" i="226"/>
  <c r="AK34" i="214"/>
  <c r="F71" i="214" s="1"/>
  <c r="AL15" i="214"/>
  <c r="AD11" i="221" s="1"/>
  <c r="AL17" i="214"/>
  <c r="AD39" i="221" s="1"/>
  <c r="AL19" i="214"/>
  <c r="AD19" i="221" s="1"/>
  <c r="AL13" i="214"/>
  <c r="AD29" i="221" s="1"/>
  <c r="AL21" i="214"/>
  <c r="AD27" i="221" s="1"/>
  <c r="AL16" i="214"/>
  <c r="AD17" i="221" s="1"/>
  <c r="AL22" i="214"/>
  <c r="AD21" i="221" s="1"/>
  <c r="AL14" i="214"/>
  <c r="AD9" i="221" s="1"/>
  <c r="AL18" i="214"/>
  <c r="AD23" i="221" s="1"/>
  <c r="AL20" i="214"/>
  <c r="AD25" i="221" s="1"/>
  <c r="AL12" i="214"/>
  <c r="AD7" i="221" s="1"/>
  <c r="AM10" i="214"/>
  <c r="B73" i="214"/>
  <c r="I49" i="214" s="1"/>
  <c r="AD51" i="221" l="1"/>
  <c r="AF51" i="221" s="1"/>
  <c r="AD38" i="221" a="1"/>
  <c r="AD38" i="221" s="1"/>
  <c r="AE36" i="221" a="1"/>
  <c r="AE36" i="221" s="1"/>
  <c r="AD40" i="221" a="1"/>
  <c r="AD40" i="221" s="1"/>
  <c r="AD34" i="221" a="1"/>
  <c r="AD34" i="221" s="1"/>
  <c r="AD42" i="221" a="1"/>
  <c r="AD42" i="221" s="1"/>
  <c r="AD46" i="221" a="1"/>
  <c r="AD46" i="221" s="1"/>
  <c r="AD44" i="221" a="1"/>
  <c r="AD44" i="221" s="1"/>
  <c r="AD50" i="221" a="1"/>
  <c r="AD50" i="221" s="1"/>
  <c r="AD48" i="221" a="1"/>
  <c r="AD48" i="221" s="1"/>
  <c r="W52" i="221"/>
  <c r="V54" i="221"/>
  <c r="I50" i="214"/>
  <c r="J49" i="214"/>
  <c r="I61" i="226"/>
  <c r="J60" i="226"/>
  <c r="I60" i="228"/>
  <c r="J59" i="228"/>
  <c r="N47" i="228"/>
  <c r="C48" i="228" s="1"/>
  <c r="K48" i="228" s="1"/>
  <c r="L48" i="228" s="1"/>
  <c r="K49" i="226"/>
  <c r="L49" i="226" s="1"/>
  <c r="BE13" i="226"/>
  <c r="BE14" i="226"/>
  <c r="BE15" i="226"/>
  <c r="BG16" i="228"/>
  <c r="BG19" i="228"/>
  <c r="BH10" i="228"/>
  <c r="BG15" i="228"/>
  <c r="BG18" i="228"/>
  <c r="BG14" i="228"/>
  <c r="BG17" i="228"/>
  <c r="BG12" i="228"/>
  <c r="BG13" i="228"/>
  <c r="BF20" i="228"/>
  <c r="BF10" i="226"/>
  <c r="BE12" i="226"/>
  <c r="BD16" i="226"/>
  <c r="AL34" i="214"/>
  <c r="F72" i="214" s="1"/>
  <c r="AM22" i="214"/>
  <c r="AE21" i="221" s="1"/>
  <c r="AM15" i="214"/>
  <c r="AE11" i="221" s="1"/>
  <c r="AM13" i="214"/>
  <c r="AE29" i="221" s="1"/>
  <c r="AM17" i="214"/>
  <c r="AE39" i="221" s="1"/>
  <c r="AM19" i="214"/>
  <c r="AE19" i="221" s="1"/>
  <c r="AM21" i="214"/>
  <c r="AE27" i="221" s="1"/>
  <c r="AM16" i="214"/>
  <c r="AE17" i="221" s="1"/>
  <c r="AM14" i="214"/>
  <c r="AE9" i="221" s="1"/>
  <c r="AM18" i="214"/>
  <c r="AE23" i="221" s="1"/>
  <c r="AM12" i="214"/>
  <c r="AE7" i="221" s="1"/>
  <c r="AM20" i="214"/>
  <c r="AE25" i="221" s="1"/>
  <c r="B74" i="214"/>
  <c r="I74" i="214" s="1"/>
  <c r="AN10" i="214"/>
  <c r="X52" i="221" l="1"/>
  <c r="W54" i="221"/>
  <c r="AE51" i="221"/>
  <c r="AE44" i="221" a="1"/>
  <c r="AE44" i="221" s="1"/>
  <c r="AE34" i="221" a="1"/>
  <c r="AE34" i="221" s="1"/>
  <c r="AE50" i="221" a="1"/>
  <c r="AE50" i="221" s="1"/>
  <c r="AE38" i="221" a="1"/>
  <c r="AE38" i="221" s="1"/>
  <c r="AE48" i="221" a="1"/>
  <c r="AE48" i="221" s="1"/>
  <c r="AE46" i="221" a="1"/>
  <c r="AE46" i="221" s="1"/>
  <c r="AE42" i="221" a="1"/>
  <c r="AE42" i="221" s="1"/>
  <c r="AE40" i="221" a="1"/>
  <c r="AE40" i="221" s="1"/>
  <c r="K49" i="214"/>
  <c r="N49" i="214" s="1"/>
  <c r="C50" i="214" s="1"/>
  <c r="I51" i="214"/>
  <c r="J50" i="214"/>
  <c r="I62" i="226"/>
  <c r="J61" i="226"/>
  <c r="I61" i="228"/>
  <c r="J60" i="228"/>
  <c r="M48" i="228"/>
  <c r="N48" i="228" s="1"/>
  <c r="C49" i="228" s="1"/>
  <c r="M49" i="226"/>
  <c r="N49" i="226" s="1"/>
  <c r="C50" i="226" s="1"/>
  <c r="K50" i="226" s="1"/>
  <c r="BF13" i="226"/>
  <c r="BF14" i="226"/>
  <c r="BF15" i="226"/>
  <c r="BH16" i="228"/>
  <c r="BH19" i="228"/>
  <c r="BI10" i="228"/>
  <c r="BH15" i="228"/>
  <c r="BH18" i="228"/>
  <c r="BH17" i="228"/>
  <c r="BH14" i="228"/>
  <c r="BH13" i="228"/>
  <c r="BH12" i="228"/>
  <c r="BG20" i="228"/>
  <c r="BG10" i="226"/>
  <c r="BF12" i="226"/>
  <c r="BE16" i="226"/>
  <c r="AM34" i="214"/>
  <c r="F73" i="214" s="1"/>
  <c r="AN22" i="214"/>
  <c r="AN15" i="214"/>
  <c r="AN17" i="214"/>
  <c r="AN13" i="214"/>
  <c r="AN19" i="214"/>
  <c r="AN16" i="214"/>
  <c r="AN18" i="214"/>
  <c r="AN20" i="214"/>
  <c r="AN14" i="214"/>
  <c r="AN21" i="214"/>
  <c r="AN12" i="214"/>
  <c r="AO10" i="214"/>
  <c r="B75" i="214"/>
  <c r="I75" i="214" s="1"/>
  <c r="Y52" i="221" l="1"/>
  <c r="X54" i="221"/>
  <c r="I52" i="214"/>
  <c r="J51" i="214"/>
  <c r="K50" i="214"/>
  <c r="N50" i="214" s="1"/>
  <c r="C51" i="214" s="1"/>
  <c r="I63" i="226"/>
  <c r="J62" i="226"/>
  <c r="I62" i="228"/>
  <c r="J61" i="228"/>
  <c r="K49" i="228"/>
  <c r="M49" i="228" s="1"/>
  <c r="M50" i="226"/>
  <c r="L50" i="226"/>
  <c r="BG13" i="226"/>
  <c r="BG14" i="226"/>
  <c r="BG15" i="226"/>
  <c r="BH20" i="228"/>
  <c r="BI19" i="228"/>
  <c r="BJ10" i="228"/>
  <c r="BI15" i="228"/>
  <c r="BI14" i="228"/>
  <c r="BI18" i="228"/>
  <c r="BI13" i="228"/>
  <c r="BI16" i="228"/>
  <c r="BI17" i="228"/>
  <c r="BI12" i="228"/>
  <c r="BF16" i="226"/>
  <c r="BH10" i="226"/>
  <c r="BG12" i="226"/>
  <c r="AN34" i="214"/>
  <c r="F74" i="214" s="1"/>
  <c r="AO12" i="214"/>
  <c r="AO22" i="214"/>
  <c r="AO15" i="214"/>
  <c r="AO17" i="214"/>
  <c r="AO19" i="214"/>
  <c r="AO16" i="214"/>
  <c r="AO21" i="214"/>
  <c r="AO18" i="214"/>
  <c r="AO20" i="214"/>
  <c r="AO14" i="214"/>
  <c r="AO13" i="214"/>
  <c r="B76" i="214"/>
  <c r="I76" i="214" s="1"/>
  <c r="AP10" i="214"/>
  <c r="Z52" i="221" l="1"/>
  <c r="Y54" i="221"/>
  <c r="K51" i="214"/>
  <c r="N51" i="214" s="1"/>
  <c r="C52" i="214" s="1"/>
  <c r="I53" i="214"/>
  <c r="J52" i="214"/>
  <c r="I64" i="226"/>
  <c r="J63" i="226"/>
  <c r="I63" i="228"/>
  <c r="J62" i="228"/>
  <c r="L49" i="228"/>
  <c r="N49" i="228" s="1"/>
  <c r="C50" i="228" s="1"/>
  <c r="K50" i="228" s="1"/>
  <c r="N50" i="226"/>
  <c r="C51" i="226" s="1"/>
  <c r="K51" i="226" s="1"/>
  <c r="L51" i="226" s="1"/>
  <c r="BH14" i="226"/>
  <c r="BH15" i="226"/>
  <c r="BH13" i="226"/>
  <c r="BI20" i="228"/>
  <c r="BJ19" i="228"/>
  <c r="BK10" i="228"/>
  <c r="BJ15" i="228"/>
  <c r="BJ18" i="228"/>
  <c r="BJ14" i="228"/>
  <c r="BJ16" i="228"/>
  <c r="BJ13" i="228"/>
  <c r="BJ12" i="228"/>
  <c r="BJ17" i="228"/>
  <c r="BG16" i="226"/>
  <c r="BI10" i="226"/>
  <c r="BH12" i="226"/>
  <c r="AO34" i="214"/>
  <c r="F75" i="214" s="1"/>
  <c r="AP22" i="214"/>
  <c r="AP12" i="214"/>
  <c r="AP15" i="214"/>
  <c r="AP17" i="214"/>
  <c r="AP16" i="214"/>
  <c r="AP21" i="214"/>
  <c r="AP13" i="214"/>
  <c r="AP20" i="214"/>
  <c r="AP14" i="214"/>
  <c r="AP18" i="214"/>
  <c r="AP19" i="214"/>
  <c r="AQ10" i="214"/>
  <c r="J76" i="214"/>
  <c r="B77" i="214"/>
  <c r="I77" i="214" s="1"/>
  <c r="AA52" i="221" l="1"/>
  <c r="Z54" i="221"/>
  <c r="I54" i="214"/>
  <c r="J53" i="214"/>
  <c r="K52" i="214"/>
  <c r="N52" i="214" s="1"/>
  <c r="C53" i="214" s="1"/>
  <c r="K53" i="214" s="1"/>
  <c r="N53" i="214" s="1"/>
  <c r="C54" i="214" s="1"/>
  <c r="I65" i="226"/>
  <c r="J64" i="226"/>
  <c r="J63" i="228"/>
  <c r="J64" i="228"/>
  <c r="J65" i="228"/>
  <c r="L50" i="228"/>
  <c r="M50" i="228"/>
  <c r="M51" i="226"/>
  <c r="N51" i="226" s="1"/>
  <c r="C52" i="226" s="1"/>
  <c r="K52" i="226" s="1"/>
  <c r="BI14" i="226"/>
  <c r="BI15" i="226"/>
  <c r="BI13" i="226"/>
  <c r="BJ20" i="228"/>
  <c r="BK15" i="228"/>
  <c r="BK18" i="228"/>
  <c r="BK14" i="228"/>
  <c r="BK17" i="228"/>
  <c r="BK13" i="228"/>
  <c r="BK12" i="228"/>
  <c r="BK19" i="228"/>
  <c r="BL10" i="228"/>
  <c r="BK16" i="228"/>
  <c r="BI12" i="226"/>
  <c r="BJ10" i="226"/>
  <c r="BH16" i="226"/>
  <c r="AP34" i="214"/>
  <c r="F76" i="214" s="1"/>
  <c r="AQ12" i="214"/>
  <c r="AQ15" i="214"/>
  <c r="AQ22" i="214"/>
  <c r="AQ17" i="214"/>
  <c r="AQ19" i="214"/>
  <c r="AQ14" i="214"/>
  <c r="AQ20" i="214"/>
  <c r="AQ16" i="214"/>
  <c r="AQ18" i="214"/>
  <c r="AQ13" i="214"/>
  <c r="AQ21" i="214"/>
  <c r="B78" i="214"/>
  <c r="I78" i="214" s="1"/>
  <c r="J77" i="214"/>
  <c r="AR10" i="214"/>
  <c r="AB52" i="221" l="1"/>
  <c r="AA54" i="221"/>
  <c r="I55" i="214"/>
  <c r="J54" i="214"/>
  <c r="J65" i="226"/>
  <c r="J66" i="226"/>
  <c r="J67" i="226"/>
  <c r="N50" i="228"/>
  <c r="C51" i="228" s="1"/>
  <c r="K51" i="228" s="1"/>
  <c r="L52" i="226"/>
  <c r="M52" i="226"/>
  <c r="BJ14" i="226"/>
  <c r="BJ13" i="226"/>
  <c r="BJ15" i="226"/>
  <c r="BK20" i="228"/>
  <c r="BL15" i="228"/>
  <c r="BL18" i="228"/>
  <c r="BL14" i="228"/>
  <c r="BL17" i="228"/>
  <c r="BM10" i="228"/>
  <c r="BL19" i="228"/>
  <c r="BL13" i="228"/>
  <c r="BL12" i="228"/>
  <c r="BL16" i="228"/>
  <c r="BI16" i="226"/>
  <c r="BJ12" i="226"/>
  <c r="BK10" i="226"/>
  <c r="AQ34" i="214"/>
  <c r="F77" i="214" s="1"/>
  <c r="AR20" i="214"/>
  <c r="AR12" i="214"/>
  <c r="AR22" i="214"/>
  <c r="AR15" i="214"/>
  <c r="AR17" i="214"/>
  <c r="AR14" i="214"/>
  <c r="AR19" i="214"/>
  <c r="AR21" i="214"/>
  <c r="AR13" i="214"/>
  <c r="AR16" i="214"/>
  <c r="AR18" i="214"/>
  <c r="J78" i="214"/>
  <c r="B79" i="214"/>
  <c r="I79" i="214" s="1"/>
  <c r="AS10" i="214"/>
  <c r="AC52" i="221" l="1"/>
  <c r="AB54" i="221"/>
  <c r="K54" i="214"/>
  <c r="N54" i="214" s="1"/>
  <c r="C55" i="214" s="1"/>
  <c r="I56" i="214"/>
  <c r="J55" i="214"/>
  <c r="L51" i="228"/>
  <c r="M51" i="228"/>
  <c r="N52" i="226"/>
  <c r="C53" i="226" s="1"/>
  <c r="K53" i="226" s="1"/>
  <c r="BK14" i="226"/>
  <c r="BK13" i="226"/>
  <c r="BK15" i="226"/>
  <c r="BL20" i="228"/>
  <c r="BM15" i="228"/>
  <c r="BM18" i="228"/>
  <c r="BM14" i="228"/>
  <c r="BM17" i="228"/>
  <c r="BN10" i="228"/>
  <c r="BM13" i="228"/>
  <c r="BM19" i="228"/>
  <c r="BM12" i="228"/>
  <c r="BM16" i="228"/>
  <c r="BL10" i="226"/>
  <c r="BK12" i="226"/>
  <c r="BJ16" i="226"/>
  <c r="AR34" i="214"/>
  <c r="F78" i="214" s="1"/>
  <c r="AS14" i="214"/>
  <c r="AS20" i="214"/>
  <c r="AS12" i="214"/>
  <c r="AS22" i="214"/>
  <c r="AS15" i="214"/>
  <c r="AS19" i="214"/>
  <c r="AS16" i="214"/>
  <c r="AS17" i="214"/>
  <c r="AS13" i="214"/>
  <c r="AS21" i="214"/>
  <c r="AS18" i="214"/>
  <c r="AT10" i="214"/>
  <c r="B80" i="214"/>
  <c r="I80" i="214" s="1"/>
  <c r="J79" i="214"/>
  <c r="AD52" i="221" l="1"/>
  <c r="AC54" i="221"/>
  <c r="I57" i="214"/>
  <c r="J56" i="214"/>
  <c r="K55" i="214"/>
  <c r="N55" i="214" s="1"/>
  <c r="C56" i="214" s="1"/>
  <c r="K56" i="214" s="1"/>
  <c r="N56" i="214" s="1"/>
  <c r="C57" i="214" s="1"/>
  <c r="N51" i="228"/>
  <c r="C52" i="228" s="1"/>
  <c r="K52" i="228" s="1"/>
  <c r="L53" i="226"/>
  <c r="M53" i="226"/>
  <c r="BL14" i="226"/>
  <c r="BL13" i="226"/>
  <c r="BL15" i="226"/>
  <c r="BM20" i="228"/>
  <c r="BN13" i="228"/>
  <c r="BN18" i="228"/>
  <c r="BN14" i="228"/>
  <c r="BN17" i="228"/>
  <c r="BN19" i="228"/>
  <c r="BN12" i="228"/>
  <c r="BO10" i="228"/>
  <c r="BN16" i="228"/>
  <c r="BN15" i="228"/>
  <c r="BK16" i="226"/>
  <c r="BM10" i="226"/>
  <c r="BL12" i="226"/>
  <c r="AS34" i="214"/>
  <c r="F79" i="214" s="1"/>
  <c r="AT18" i="214"/>
  <c r="AT14" i="214"/>
  <c r="AT20" i="214"/>
  <c r="AT12" i="214"/>
  <c r="AT13" i="214"/>
  <c r="AT15" i="214"/>
  <c r="AT19" i="214"/>
  <c r="AT22" i="214"/>
  <c r="AT16" i="214"/>
  <c r="AT21" i="214"/>
  <c r="AT17" i="214"/>
  <c r="J80" i="214"/>
  <c r="B81" i="214"/>
  <c r="I81" i="214" s="1"/>
  <c r="AU10" i="214"/>
  <c r="AE52" i="221" l="1"/>
  <c r="AE54" i="221" s="1"/>
  <c r="AD54" i="221"/>
  <c r="I58" i="214"/>
  <c r="J57" i="214"/>
  <c r="L52" i="228"/>
  <c r="M52" i="228"/>
  <c r="N53" i="226"/>
  <c r="C54" i="226" s="1"/>
  <c r="K54" i="226" s="1"/>
  <c r="BM14" i="226"/>
  <c r="BM13" i="226"/>
  <c r="BM15" i="226"/>
  <c r="BN20" i="228"/>
  <c r="BO18" i="228"/>
  <c r="BO14" i="228"/>
  <c r="BO17" i="228"/>
  <c r="BO13" i="228"/>
  <c r="BO15" i="228"/>
  <c r="BO16" i="228"/>
  <c r="BO19" i="228"/>
  <c r="BP10" i="228"/>
  <c r="BO12" i="228"/>
  <c r="BL16" i="226"/>
  <c r="BM12" i="226"/>
  <c r="BN10" i="226"/>
  <c r="AT34" i="214"/>
  <c r="F80" i="214" s="1"/>
  <c r="AU14" i="214"/>
  <c r="AU20" i="214"/>
  <c r="AU18" i="214"/>
  <c r="AU12" i="214"/>
  <c r="AU13" i="214"/>
  <c r="AU19" i="214"/>
  <c r="AU22" i="214"/>
  <c r="AU21" i="214"/>
  <c r="AU15" i="214"/>
  <c r="AU17" i="214"/>
  <c r="AU16" i="214"/>
  <c r="AV10" i="214"/>
  <c r="B82" i="214"/>
  <c r="I82" i="214" s="1"/>
  <c r="J81" i="214"/>
  <c r="I59" i="214" l="1"/>
  <c r="J58" i="214"/>
  <c r="K57" i="214"/>
  <c r="N57" i="214" s="1"/>
  <c r="C58" i="214" s="1"/>
  <c r="N52" i="228"/>
  <c r="C53" i="228" s="1"/>
  <c r="K53" i="228" s="1"/>
  <c r="L54" i="226"/>
  <c r="M54" i="226"/>
  <c r="BN15" i="226"/>
  <c r="BN14" i="226"/>
  <c r="BN13" i="226"/>
  <c r="BP14" i="228"/>
  <c r="BP17" i="228"/>
  <c r="BP13" i="228"/>
  <c r="BP12" i="228"/>
  <c r="BP15" i="228"/>
  <c r="BP19" i="228"/>
  <c r="BP16" i="228"/>
  <c r="BP18" i="228"/>
  <c r="BQ10" i="228"/>
  <c r="BO20" i="228"/>
  <c r="BM16" i="226"/>
  <c r="BN12" i="226"/>
  <c r="BO10" i="226"/>
  <c r="AU34" i="214"/>
  <c r="F81" i="214" s="1"/>
  <c r="AV16" i="214"/>
  <c r="AV18" i="214"/>
  <c r="AV14" i="214"/>
  <c r="AV12" i="214"/>
  <c r="AV20" i="214"/>
  <c r="AV13" i="214"/>
  <c r="AV19" i="214"/>
  <c r="AV22" i="214"/>
  <c r="AV15" i="214"/>
  <c r="AV17" i="214"/>
  <c r="AV21" i="214"/>
  <c r="J82" i="214"/>
  <c r="AW10" i="214"/>
  <c r="K58" i="214" l="1"/>
  <c r="N58" i="214" s="1"/>
  <c r="C59" i="214" s="1"/>
  <c r="I60" i="214"/>
  <c r="J59" i="214"/>
  <c r="M53" i="228"/>
  <c r="L53" i="228"/>
  <c r="N54" i="226"/>
  <c r="C55" i="226" s="1"/>
  <c r="BO15" i="226"/>
  <c r="BO14" i="226"/>
  <c r="BO13" i="226"/>
  <c r="BQ14" i="228"/>
  <c r="BQ17" i="228"/>
  <c r="BQ13" i="228"/>
  <c r="BQ19" i="228"/>
  <c r="BQ16" i="228"/>
  <c r="BQ18" i="228"/>
  <c r="BR10" i="228"/>
  <c r="BQ15" i="228"/>
  <c r="BQ12" i="228"/>
  <c r="BP20" i="228"/>
  <c r="BN16" i="226"/>
  <c r="BP10" i="226"/>
  <c r="BO12" i="226"/>
  <c r="AV34" i="214"/>
  <c r="F82" i="214" s="1"/>
  <c r="AW18" i="214"/>
  <c r="AW14" i="214"/>
  <c r="AW16" i="214"/>
  <c r="AW20" i="214"/>
  <c r="AW13" i="214"/>
  <c r="AW19" i="214"/>
  <c r="AW12" i="214"/>
  <c r="AW22" i="214"/>
  <c r="AW21" i="214"/>
  <c r="AW15" i="214"/>
  <c r="AW17" i="214"/>
  <c r="AX10" i="214"/>
  <c r="I61" i="214" l="1"/>
  <c r="J60" i="214"/>
  <c r="K59" i="214"/>
  <c r="N59" i="214" s="1"/>
  <c r="C60" i="214" s="1"/>
  <c r="N53" i="228"/>
  <c r="C54" i="228" s="1"/>
  <c r="K54" i="228" s="1"/>
  <c r="L54" i="228" s="1"/>
  <c r="K55" i="226"/>
  <c r="M55" i="226" s="1"/>
  <c r="BO16" i="226"/>
  <c r="BP15" i="226"/>
  <c r="BP14" i="226"/>
  <c r="BP13" i="226"/>
  <c r="BQ20" i="228"/>
  <c r="BR14" i="228"/>
  <c r="BR17" i="228"/>
  <c r="BR13" i="228"/>
  <c r="BR16" i="228"/>
  <c r="BR19" i="228"/>
  <c r="BS10" i="228"/>
  <c r="BR12" i="228"/>
  <c r="BR18" i="228"/>
  <c r="BR15" i="228"/>
  <c r="BQ10" i="226"/>
  <c r="BP12" i="226"/>
  <c r="AW34" i="214"/>
  <c r="AX18" i="214"/>
  <c r="AX16" i="214"/>
  <c r="AX14" i="214"/>
  <c r="AX20" i="214"/>
  <c r="AX15" i="214"/>
  <c r="AX17" i="214"/>
  <c r="AX13" i="214"/>
  <c r="AX19" i="214"/>
  <c r="AX21" i="214"/>
  <c r="AX22" i="214"/>
  <c r="AX12" i="214"/>
  <c r="AY10" i="214"/>
  <c r="I62" i="214" l="1"/>
  <c r="J61" i="214"/>
  <c r="K60" i="214"/>
  <c r="N60" i="214" s="1"/>
  <c r="C61" i="214" s="1"/>
  <c r="M54" i="228"/>
  <c r="N54" i="228" s="1"/>
  <c r="C55" i="228" s="1"/>
  <c r="L55" i="226"/>
  <c r="N55" i="226" s="1"/>
  <c r="C56" i="226" s="1"/>
  <c r="K56" i="226" s="1"/>
  <c r="BQ15" i="226"/>
  <c r="BQ14" i="226"/>
  <c r="BQ13" i="226"/>
  <c r="BS17" i="228"/>
  <c r="BT17" i="228" s="1"/>
  <c r="BS12" i="228"/>
  <c r="BT12" i="228" s="1"/>
  <c r="BS13" i="228"/>
  <c r="BT13" i="228" s="1"/>
  <c r="BS14" i="228"/>
  <c r="BT14" i="228" s="1"/>
  <c r="BS15" i="228"/>
  <c r="BS18" i="228"/>
  <c r="BS16" i="228"/>
  <c r="BT16" i="228" s="1"/>
  <c r="BS19" i="228"/>
  <c r="BR20" i="228"/>
  <c r="BP16" i="226"/>
  <c r="BQ12" i="226"/>
  <c r="BR10" i="226"/>
  <c r="AX34" i="214"/>
  <c r="AY16" i="214"/>
  <c r="AY14" i="214"/>
  <c r="AY18" i="214"/>
  <c r="AY20" i="214"/>
  <c r="AY15" i="214"/>
  <c r="AY17" i="214"/>
  <c r="AY13" i="214"/>
  <c r="AY19" i="214"/>
  <c r="AY12" i="214"/>
  <c r="AY21" i="214"/>
  <c r="AY22" i="214"/>
  <c r="AZ10" i="214"/>
  <c r="K61" i="214" l="1"/>
  <c r="N61" i="214" s="1"/>
  <c r="C62" i="214" s="1"/>
  <c r="I63" i="214"/>
  <c r="J62" i="214"/>
  <c r="K55" i="228"/>
  <c r="M55" i="228" s="1"/>
  <c r="L56" i="226"/>
  <c r="M56" i="226"/>
  <c r="BT18" i="228"/>
  <c r="BT15" i="228"/>
  <c r="BT19" i="228"/>
  <c r="BR15" i="226"/>
  <c r="BR14" i="226"/>
  <c r="BR13" i="226"/>
  <c r="BS20" i="228"/>
  <c r="BS10" i="226"/>
  <c r="BR12" i="226"/>
  <c r="BQ16" i="226"/>
  <c r="AY34" i="214"/>
  <c r="AZ18" i="214"/>
  <c r="AZ16" i="214"/>
  <c r="AZ14" i="214"/>
  <c r="AZ22" i="214"/>
  <c r="AZ15" i="214"/>
  <c r="AZ17" i="214"/>
  <c r="AZ13" i="214"/>
  <c r="AZ20" i="214"/>
  <c r="AZ21" i="214"/>
  <c r="AZ19" i="214"/>
  <c r="AZ12" i="214"/>
  <c r="BA10" i="214"/>
  <c r="I64" i="214" l="1"/>
  <c r="J63" i="214"/>
  <c r="K62" i="214"/>
  <c r="N62" i="214" s="1"/>
  <c r="C63" i="214" s="1"/>
  <c r="L55" i="228"/>
  <c r="N55" i="228" s="1"/>
  <c r="C56" i="228" s="1"/>
  <c r="K56" i="228" s="1"/>
  <c r="N56" i="226"/>
  <c r="C57" i="226" s="1"/>
  <c r="BT20" i="228"/>
  <c r="BS15" i="226"/>
  <c r="BT15" i="226" s="1"/>
  <c r="BS14" i="226"/>
  <c r="BT14" i="226" s="1"/>
  <c r="BS13" i="226"/>
  <c r="BT13" i="226" s="1"/>
  <c r="BR16" i="226"/>
  <c r="BS12" i="226"/>
  <c r="AZ34" i="214"/>
  <c r="BA12" i="214"/>
  <c r="BA13" i="214"/>
  <c r="BA14" i="214"/>
  <c r="BA15" i="214"/>
  <c r="BA16" i="214"/>
  <c r="BA17" i="214"/>
  <c r="BA18" i="214"/>
  <c r="BA19" i="214"/>
  <c r="BA20" i="214"/>
  <c r="BA21" i="214"/>
  <c r="BA22" i="214"/>
  <c r="BB10" i="214"/>
  <c r="K63" i="214" l="1"/>
  <c r="N63" i="214" s="1"/>
  <c r="C64" i="214" s="1"/>
  <c r="I65" i="214"/>
  <c r="J64" i="214"/>
  <c r="M56" i="228"/>
  <c r="L56" i="228"/>
  <c r="K57" i="226"/>
  <c r="M57" i="226" s="1"/>
  <c r="BS16" i="226"/>
  <c r="BT12" i="226"/>
  <c r="BA34" i="214"/>
  <c r="BB12" i="214"/>
  <c r="BB13" i="214"/>
  <c r="BB14" i="214"/>
  <c r="BB15" i="214"/>
  <c r="BB16" i="214"/>
  <c r="BB17" i="214"/>
  <c r="BB18" i="214"/>
  <c r="BB19" i="214"/>
  <c r="BB20" i="214"/>
  <c r="BB21" i="214"/>
  <c r="BB22" i="214"/>
  <c r="BC10" i="214"/>
  <c r="I66" i="214" l="1"/>
  <c r="J65" i="214"/>
  <c r="K64" i="214"/>
  <c r="N64" i="214" s="1"/>
  <c r="C65" i="214" s="1"/>
  <c r="N56" i="228"/>
  <c r="C57" i="228" s="1"/>
  <c r="K57" i="228" s="1"/>
  <c r="M57" i="228" s="1"/>
  <c r="L57" i="226"/>
  <c r="N57" i="226" s="1"/>
  <c r="C58" i="226" s="1"/>
  <c r="BT16" i="226"/>
  <c r="BB34" i="214"/>
  <c r="BC12" i="214"/>
  <c r="BC13" i="214"/>
  <c r="BC14" i="214"/>
  <c r="BC15" i="214"/>
  <c r="BC21" i="214"/>
  <c r="BC16" i="214"/>
  <c r="BC20" i="214"/>
  <c r="BC17" i="214"/>
  <c r="BC18" i="214"/>
  <c r="BC19" i="214"/>
  <c r="BC22" i="214"/>
  <c r="BD10" i="214"/>
  <c r="K65" i="214" l="1"/>
  <c r="N65" i="214" s="1"/>
  <c r="C66" i="214" s="1"/>
  <c r="I67" i="214"/>
  <c r="J66" i="214"/>
  <c r="L57" i="228"/>
  <c r="N57" i="228" s="1"/>
  <c r="C58" i="228" s="1"/>
  <c r="K58" i="226"/>
  <c r="L58" i="226" s="1"/>
  <c r="BC34" i="214"/>
  <c r="BD13" i="214"/>
  <c r="BD21" i="214"/>
  <c r="BD16" i="214"/>
  <c r="BD20" i="214"/>
  <c r="BD15" i="214"/>
  <c r="BD17" i="214"/>
  <c r="BD14" i="214"/>
  <c r="BD19" i="214"/>
  <c r="BD18" i="214"/>
  <c r="BD22" i="214"/>
  <c r="BD12" i="214"/>
  <c r="BE10" i="214"/>
  <c r="I68" i="214" l="1"/>
  <c r="J67" i="214"/>
  <c r="K66" i="214"/>
  <c r="N66" i="214" s="1"/>
  <c r="C67" i="214" s="1"/>
  <c r="K58" i="228"/>
  <c r="M58" i="228" s="1"/>
  <c r="M58" i="226"/>
  <c r="N58" i="226" s="1"/>
  <c r="C59" i="226" s="1"/>
  <c r="K59" i="226" s="1"/>
  <c r="BD34" i="214"/>
  <c r="BE12" i="214"/>
  <c r="BE13" i="214"/>
  <c r="BE14" i="214"/>
  <c r="BE15" i="214"/>
  <c r="BE16" i="214"/>
  <c r="BE17" i="214"/>
  <c r="BE18" i="214"/>
  <c r="BE19" i="214"/>
  <c r="BE20" i="214"/>
  <c r="BE21" i="214"/>
  <c r="BE22" i="214"/>
  <c r="BF10" i="214"/>
  <c r="K67" i="214" l="1"/>
  <c r="N67" i="214" s="1"/>
  <c r="C68" i="214" s="1"/>
  <c r="I69" i="214"/>
  <c r="J68" i="214"/>
  <c r="L58" i="228"/>
  <c r="N58" i="228" s="1"/>
  <c r="C59" i="228" s="1"/>
  <c r="K59" i="228" s="1"/>
  <c r="M59" i="226"/>
  <c r="L59" i="226"/>
  <c r="BE34" i="214"/>
  <c r="BF19" i="214"/>
  <c r="BF21" i="214"/>
  <c r="BF13" i="214"/>
  <c r="BF16" i="214"/>
  <c r="BF20" i="214"/>
  <c r="BF15" i="214"/>
  <c r="BF17" i="214"/>
  <c r="BF14" i="214"/>
  <c r="BF22" i="214"/>
  <c r="BF18" i="214"/>
  <c r="BF12" i="214"/>
  <c r="BG10" i="214"/>
  <c r="K68" i="214" l="1"/>
  <c r="N68" i="214" s="1"/>
  <c r="C69" i="214" s="1"/>
  <c r="I70" i="214"/>
  <c r="J69" i="214"/>
  <c r="L59" i="228"/>
  <c r="M59" i="228"/>
  <c r="N59" i="226"/>
  <c r="C60" i="226" s="1"/>
  <c r="K60" i="226" s="1"/>
  <c r="M60" i="226" s="1"/>
  <c r="BF34" i="214"/>
  <c r="BG21" i="214"/>
  <c r="BG19" i="214"/>
  <c r="BG13" i="214"/>
  <c r="BG20" i="214"/>
  <c r="BG15" i="214"/>
  <c r="BG16" i="214"/>
  <c r="BG14" i="214"/>
  <c r="BG22" i="214"/>
  <c r="BG12" i="214"/>
  <c r="BG17" i="214"/>
  <c r="BG18" i="214"/>
  <c r="BH10" i="214"/>
  <c r="I71" i="214" l="1"/>
  <c r="J70" i="214"/>
  <c r="K69" i="214"/>
  <c r="N69" i="214" s="1"/>
  <c r="C70" i="214" s="1"/>
  <c r="N59" i="228"/>
  <c r="C60" i="228" s="1"/>
  <c r="L60" i="226"/>
  <c r="N60" i="226" s="1"/>
  <c r="C61" i="226" s="1"/>
  <c r="K61" i="226" s="1"/>
  <c r="BG34" i="214"/>
  <c r="BH17" i="214"/>
  <c r="BH19" i="214"/>
  <c r="BH13" i="214"/>
  <c r="BH21" i="214"/>
  <c r="BH20" i="214"/>
  <c r="BH15" i="214"/>
  <c r="BH22" i="214"/>
  <c r="BH18" i="214"/>
  <c r="BH12" i="214"/>
  <c r="BH16" i="214"/>
  <c r="BH14" i="214"/>
  <c r="BI10" i="214"/>
  <c r="K70" i="214" l="1"/>
  <c r="N70" i="214" s="1"/>
  <c r="C71" i="214" s="1"/>
  <c r="I72" i="214"/>
  <c r="J71" i="214"/>
  <c r="K60" i="228"/>
  <c r="L60" i="228" s="1"/>
  <c r="L61" i="226"/>
  <c r="M61" i="226"/>
  <c r="BH34" i="214"/>
  <c r="BI15" i="214"/>
  <c r="BI22" i="214"/>
  <c r="BI19" i="214"/>
  <c r="BI21" i="214"/>
  <c r="BI17" i="214"/>
  <c r="BI13" i="214"/>
  <c r="BI20" i="214"/>
  <c r="BI18" i="214"/>
  <c r="BI16" i="214"/>
  <c r="BI14" i="214"/>
  <c r="BI12" i="214"/>
  <c r="BJ10" i="214"/>
  <c r="K71" i="214" l="1"/>
  <c r="N71" i="214" s="1"/>
  <c r="C72" i="214" s="1"/>
  <c r="I73" i="214"/>
  <c r="J72" i="214"/>
  <c r="M60" i="228"/>
  <c r="N60" i="228" s="1"/>
  <c r="C61" i="228" s="1"/>
  <c r="K61" i="228" s="1"/>
  <c r="N61" i="226"/>
  <c r="C62" i="226" s="1"/>
  <c r="BI34" i="214"/>
  <c r="BJ17" i="214"/>
  <c r="BJ15" i="214"/>
  <c r="BJ22" i="214"/>
  <c r="BJ19" i="214"/>
  <c r="BJ13" i="214"/>
  <c r="BJ12" i="214"/>
  <c r="BJ16" i="214"/>
  <c r="BJ14" i="214"/>
  <c r="BJ21" i="214"/>
  <c r="BJ20" i="214"/>
  <c r="BJ18" i="214"/>
  <c r="BK10" i="214"/>
  <c r="K72" i="214" l="1"/>
  <c r="N72" i="214" s="1"/>
  <c r="C73" i="214" s="1"/>
  <c r="J73" i="214"/>
  <c r="J74" i="214"/>
  <c r="J75" i="214"/>
  <c r="M61" i="228"/>
  <c r="L61" i="228"/>
  <c r="K62" i="226"/>
  <c r="L62" i="226" s="1"/>
  <c r="BJ34" i="214"/>
  <c r="BK17" i="214"/>
  <c r="BK15" i="214"/>
  <c r="BK22" i="214"/>
  <c r="BK19" i="214"/>
  <c r="BK13" i="214"/>
  <c r="BK18" i="214"/>
  <c r="BK14" i="214"/>
  <c r="BK12" i="214"/>
  <c r="BK20" i="214"/>
  <c r="BK21" i="214"/>
  <c r="BK16" i="214"/>
  <c r="BL10" i="214"/>
  <c r="K73" i="214" l="1"/>
  <c r="N73" i="214" s="1"/>
  <c r="C74" i="214" s="1"/>
  <c r="K74" i="214" s="1"/>
  <c r="N74" i="214" s="1"/>
  <c r="C75" i="214" s="1"/>
  <c r="K75" i="214" s="1"/>
  <c r="N61" i="228"/>
  <c r="C62" i="228" s="1"/>
  <c r="K62" i="228" s="1"/>
  <c r="L62" i="228" s="1"/>
  <c r="M62" i="226"/>
  <c r="N62" i="226" s="1"/>
  <c r="C63" i="226" s="1"/>
  <c r="BK34" i="214"/>
  <c r="BL15" i="214"/>
  <c r="BL22" i="214"/>
  <c r="BL17" i="214"/>
  <c r="BL13" i="214"/>
  <c r="BL19" i="214"/>
  <c r="BL14" i="214"/>
  <c r="BL18" i="214"/>
  <c r="BL12" i="214"/>
  <c r="BL16" i="214"/>
  <c r="BL20" i="214"/>
  <c r="BL21" i="214"/>
  <c r="BM10" i="214"/>
  <c r="N75" i="214" l="1"/>
  <c r="C76" i="214" s="1"/>
  <c r="K76" i="214" s="1"/>
  <c r="N76" i="214" s="1"/>
  <c r="C77" i="214" s="1"/>
  <c r="K77" i="214" s="1"/>
  <c r="N77" i="214" s="1"/>
  <c r="C78" i="214" s="1"/>
  <c r="K78" i="214" s="1"/>
  <c r="N78" i="214" s="1"/>
  <c r="C79" i="214" s="1"/>
  <c r="K79" i="214" s="1"/>
  <c r="N79" i="214" s="1"/>
  <c r="C80" i="214" s="1"/>
  <c r="K80" i="214" s="1"/>
  <c r="M62" i="228"/>
  <c r="N62" i="228" s="1"/>
  <c r="C63" i="228" s="1"/>
  <c r="K63" i="228" s="1"/>
  <c r="K63" i="226"/>
  <c r="L63" i="226" s="1"/>
  <c r="BL34" i="214"/>
  <c r="BM12" i="214"/>
  <c r="BM15" i="214"/>
  <c r="BM22" i="214"/>
  <c r="BM17" i="214"/>
  <c r="BM21" i="214"/>
  <c r="BM18" i="214"/>
  <c r="BM13" i="214"/>
  <c r="BM20" i="214"/>
  <c r="BM14" i="214"/>
  <c r="BM19" i="214"/>
  <c r="BM16" i="214"/>
  <c r="BN10" i="214"/>
  <c r="L63" i="228" l="1"/>
  <c r="M63" i="228"/>
  <c r="M63" i="226"/>
  <c r="N63" i="226" s="1"/>
  <c r="C64" i="226" s="1"/>
  <c r="K64" i="226" s="1"/>
  <c r="BM34" i="214"/>
  <c r="BN12" i="214"/>
  <c r="BN15" i="214"/>
  <c r="BN22" i="214"/>
  <c r="BN17" i="214"/>
  <c r="BN14" i="214"/>
  <c r="BN21" i="214"/>
  <c r="BN18" i="214"/>
  <c r="BN13" i="214"/>
  <c r="BN20" i="214"/>
  <c r="BN16" i="214"/>
  <c r="BN19" i="214"/>
  <c r="BO10" i="214"/>
  <c r="N63" i="228" l="1"/>
  <c r="C64" i="228" s="1"/>
  <c r="K64" i="228" s="1"/>
  <c r="N80" i="214"/>
  <c r="C81" i="214" s="1"/>
  <c r="K81" i="214" s="1"/>
  <c r="M64" i="226"/>
  <c r="L64" i="226"/>
  <c r="BN34" i="214"/>
  <c r="BO20" i="214"/>
  <c r="BO22" i="214"/>
  <c r="BO12" i="214"/>
  <c r="BO15" i="214"/>
  <c r="BO14" i="214"/>
  <c r="BO21" i="214"/>
  <c r="BO18" i="214"/>
  <c r="BO17" i="214"/>
  <c r="BO16" i="214"/>
  <c r="BO13" i="214"/>
  <c r="BO19" i="214"/>
  <c r="BP10" i="214"/>
  <c r="L64" i="228" l="1"/>
  <c r="M64" i="228"/>
  <c r="N64" i="226"/>
  <c r="C65" i="226" s="1"/>
  <c r="K65" i="226" s="1"/>
  <c r="L65" i="226" s="1"/>
  <c r="BO34" i="214"/>
  <c r="BP20" i="214"/>
  <c r="BP12" i="214"/>
  <c r="BP15" i="214"/>
  <c r="BP16" i="214"/>
  <c r="BP14" i="214"/>
  <c r="BP21" i="214"/>
  <c r="BP18" i="214"/>
  <c r="BP19" i="214"/>
  <c r="BP22" i="214"/>
  <c r="BP13" i="214"/>
  <c r="BP17" i="214"/>
  <c r="BQ10" i="214"/>
  <c r="N64" i="228" l="1"/>
  <c r="C65" i="228" s="1"/>
  <c r="K65" i="228" s="1"/>
  <c r="N81" i="214"/>
  <c r="C82" i="214" s="1"/>
  <c r="K82" i="214" s="1"/>
  <c r="M65" i="226"/>
  <c r="N65" i="226" s="1"/>
  <c r="C66" i="226" s="1"/>
  <c r="BP34" i="214"/>
  <c r="BQ14" i="214"/>
  <c r="BQ18" i="214"/>
  <c r="BQ20" i="214"/>
  <c r="BQ12" i="214"/>
  <c r="BQ16" i="214"/>
  <c r="BQ21" i="214"/>
  <c r="BQ15" i="214"/>
  <c r="BQ22" i="214"/>
  <c r="BQ17" i="214"/>
  <c r="BQ19" i="214"/>
  <c r="BQ13" i="214"/>
  <c r="BR10" i="214"/>
  <c r="M65" i="228" l="1"/>
  <c r="L65" i="228"/>
  <c r="K66" i="226"/>
  <c r="M66" i="226" s="1"/>
  <c r="BQ34" i="214"/>
  <c r="BR18" i="214"/>
  <c r="BR20" i="214"/>
  <c r="BR14" i="214"/>
  <c r="BR12" i="214"/>
  <c r="BR16" i="214"/>
  <c r="BR21" i="214"/>
  <c r="BR22" i="214"/>
  <c r="BR13" i="214"/>
  <c r="BR17" i="214"/>
  <c r="BR15" i="214"/>
  <c r="BR19" i="214"/>
  <c r="BS10" i="214"/>
  <c r="N65" i="228" l="1"/>
  <c r="C66" i="228" s="1"/>
  <c r="K66" i="228" s="1"/>
  <c r="L66" i="228" s="1"/>
  <c r="N82" i="214"/>
  <c r="L66" i="226"/>
  <c r="N66" i="226" s="1"/>
  <c r="C67" i="226" s="1"/>
  <c r="BR34" i="214"/>
  <c r="BT33" i="214"/>
  <c r="BS16" i="214"/>
  <c r="BS14" i="214"/>
  <c r="BT14" i="214" s="1"/>
  <c r="BS18" i="214"/>
  <c r="BS20" i="214"/>
  <c r="BS12" i="214"/>
  <c r="BS21" i="214"/>
  <c r="BT21" i="214" s="1"/>
  <c r="BS17" i="214"/>
  <c r="BT17" i="214" s="1"/>
  <c r="BS15" i="214"/>
  <c r="BS13" i="214"/>
  <c r="BS19" i="214"/>
  <c r="BT19" i="214" s="1"/>
  <c r="BS22" i="214"/>
  <c r="BT22" i="214" s="1"/>
  <c r="M66" i="228" l="1"/>
  <c r="N66" i="228" s="1"/>
  <c r="C67" i="228" s="1"/>
  <c r="K67" i="228" s="1"/>
  <c r="L67" i="228" s="1"/>
  <c r="K67" i="226"/>
  <c r="M67" i="226" s="1"/>
  <c r="BS34" i="214"/>
  <c r="M67" i="228" l="1"/>
  <c r="N67" i="228" s="1"/>
  <c r="C68" i="228" s="1"/>
  <c r="K68" i="228" s="1"/>
  <c r="M68" i="228" s="1"/>
  <c r="L67" i="226"/>
  <c r="N67" i="226" s="1"/>
  <c r="C68" i="226" s="1"/>
  <c r="L68" i="228" l="1"/>
  <c r="N68" i="228" s="1"/>
  <c r="C69" i="228" s="1"/>
  <c r="K69" i="228" s="1"/>
  <c r="M69" i="228" s="1"/>
  <c r="K68" i="226"/>
  <c r="M68" i="226" s="1"/>
  <c r="L69" i="228" l="1"/>
  <c r="N69" i="228" s="1"/>
  <c r="C70" i="228" s="1"/>
  <c r="K70" i="228" s="1"/>
  <c r="M70" i="228" s="1"/>
  <c r="L68" i="226"/>
  <c r="N68" i="226" s="1"/>
  <c r="L70" i="228" l="1"/>
  <c r="N70" i="228" s="1"/>
  <c r="C71" i="228" s="1"/>
  <c r="K71" i="228" s="1"/>
  <c r="M71" i="228" s="1"/>
  <c r="C69" i="226"/>
  <c r="L71" i="228" l="1"/>
  <c r="N71" i="228" s="1"/>
  <c r="C72" i="228" s="1"/>
  <c r="K72" i="228" s="1"/>
  <c r="L72" i="228" s="1"/>
  <c r="K69" i="226"/>
  <c r="L69" i="226" s="1"/>
  <c r="M72" i="228" l="1"/>
  <c r="N72" i="228" s="1"/>
  <c r="M69" i="226"/>
  <c r="N69" i="226" s="1"/>
  <c r="C70" i="226" s="1"/>
  <c r="K70" i="226" s="1"/>
  <c r="M70" i="226" l="1"/>
  <c r="L70" i="226"/>
  <c r="N70" i="226" l="1"/>
  <c r="C71" i="226" s="1"/>
  <c r="K71" i="226" s="1"/>
  <c r="M71" i="226" s="1"/>
  <c r="L71" i="226" l="1"/>
  <c r="N71" i="226" s="1"/>
  <c r="C72" i="226" s="1"/>
  <c r="K72" i="226" s="1"/>
  <c r="M72" i="226" s="1"/>
  <c r="L72" i="226" l="1"/>
  <c r="N72" i="226" s="1"/>
  <c r="C73" i="226" s="1"/>
  <c r="K73" i="226" l="1"/>
  <c r="L73" i="226" s="1"/>
  <c r="M73" i="226" l="1"/>
  <c r="N73" i="226" s="1"/>
  <c r="C74" i="226" s="1"/>
  <c r="K74" i="226" l="1"/>
  <c r="L74" i="226" s="1"/>
  <c r="M74" i="226" l="1"/>
  <c r="N74" i="226"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<sst xmlns="http://schemas.openxmlformats.org/spreadsheetml/2006/main" count="851" uniqueCount="332">
  <si>
    <t>Project #</t>
  </si>
  <si>
    <t>Category and Project Description</t>
  </si>
  <si>
    <t>Timing</t>
  </si>
  <si>
    <t>Years</t>
  </si>
  <si>
    <t>Start Year</t>
  </si>
  <si>
    <t>End Year</t>
  </si>
  <si>
    <t>TOTAL</t>
  </si>
  <si>
    <t>+</t>
  </si>
  <si>
    <t>-</t>
  </si>
  <si>
    <t>Year</t>
  </si>
  <si>
    <t>Total</t>
  </si>
  <si>
    <t>starting</t>
  </si>
  <si>
    <t>b</t>
  </si>
  <si>
    <t>a</t>
  </si>
  <si>
    <t>f</t>
  </si>
  <si>
    <t>e</t>
  </si>
  <si>
    <t>g</t>
  </si>
  <si>
    <t>h</t>
  </si>
  <si>
    <t>i</t>
  </si>
  <si>
    <t>j</t>
  </si>
  <si>
    <t>Benefit to New Development</t>
  </si>
  <si>
    <t>Benefit to Exisitng Development</t>
  </si>
  <si>
    <t>Annual total (ha)</t>
  </si>
  <si>
    <t>Current Year</t>
  </si>
  <si>
    <t xml:space="preserve">enter figure </t>
  </si>
  <si>
    <t>Interest Rates (%)</t>
  </si>
  <si>
    <t>Off-site Levy Project Costs before  Cost Deductions</t>
  </si>
  <si>
    <t>Off-site Levy Recoverable</t>
  </si>
  <si>
    <t>Payment Timing - Off-site Levies</t>
  </si>
  <si>
    <t>Population Growth Rate</t>
  </si>
  <si>
    <t>Annual Population Growth</t>
  </si>
  <si>
    <t>Project Description</t>
  </si>
  <si>
    <t>Town of Okotoks</t>
  </si>
  <si>
    <t>Off-site Levy Fee Reserve Fund Closing Balance</t>
  </si>
  <si>
    <t>Cumulative Surplus (Deficit)</t>
  </si>
  <si>
    <t>Anticipated Fee Revenue</t>
  </si>
  <si>
    <t>Hectares per year</t>
  </si>
  <si>
    <t>Off-site Levy Fee Reserve Fund Opening Balance</t>
  </si>
  <si>
    <t>Year Beginning</t>
  </si>
  <si>
    <t>Future Value Compounded Interest</t>
  </si>
  <si>
    <t>Infrastructure Type</t>
  </si>
  <si>
    <t>Net Project Cost</t>
  </si>
  <si>
    <t>Sanitary</t>
  </si>
  <si>
    <t>Description</t>
  </si>
  <si>
    <t>Cumulative total (ha)</t>
  </si>
  <si>
    <t>Cumulative Residential (ha)</t>
  </si>
  <si>
    <t>Cumulative Non-Residential (ha)</t>
  </si>
  <si>
    <t>Sanitary Collection</t>
  </si>
  <si>
    <t>Sanitary Treatment</t>
  </si>
  <si>
    <t>Headworks</t>
  </si>
  <si>
    <t>Benefit to Growth</t>
  </si>
  <si>
    <t>Benefit to Existing</t>
  </si>
  <si>
    <t xml:space="preserve">Benefit </t>
  </si>
  <si>
    <t>Project Costs</t>
  </si>
  <si>
    <t>Growth Share</t>
  </si>
  <si>
    <t>Existing Share</t>
  </si>
  <si>
    <t>Code</t>
  </si>
  <si>
    <t>Name</t>
  </si>
  <si>
    <t>45A</t>
  </si>
  <si>
    <t>50A</t>
  </si>
  <si>
    <t>50B</t>
  </si>
  <si>
    <t>53A</t>
  </si>
  <si>
    <t>53B</t>
  </si>
  <si>
    <t>525 mm Gravity Sewer North Railway Trunk Upgrade (North Railway Street Bend - Fisher Gate)</t>
  </si>
  <si>
    <t>450 mm Gravity Sewer South Railway Street Upgrade (Northridge Drive/Riverside Drive Intersection - Start of Oak Ave)</t>
  </si>
  <si>
    <t>South Railway Street Upgrade (Northridge Drive/Riverside Drive Intersection - Start of Oak Ave)</t>
  </si>
  <si>
    <t>350 mm Siphon (32 Street/Railroad intersection - WWTP)</t>
  </si>
  <si>
    <t>375 mm Forcemain</t>
  </si>
  <si>
    <t>900 mm Gravity Sewer</t>
  </si>
  <si>
    <t>675 mm Gravity Sewer</t>
  </si>
  <si>
    <t>450 mm Gravity Sewer</t>
  </si>
  <si>
    <t>525 mm Gravity Sewer</t>
  </si>
  <si>
    <t>600 mm Gravity Sewer</t>
  </si>
  <si>
    <t>675 mm Gravity Sewer (S-3, Highway 7/2A Intersection - Highway 7/32nd Street Intersection)</t>
  </si>
  <si>
    <t>750 mm Gravity Sewer (Highway 7/32nd Street Intersection - 32 Street/Railroad intersection)</t>
  </si>
  <si>
    <t>250 mm Siphon</t>
  </si>
  <si>
    <t>No</t>
  </si>
  <si>
    <t>Yes</t>
  </si>
  <si>
    <t>Pipe Size (mm)</t>
  </si>
  <si>
    <t>Depth (m)</t>
  </si>
  <si>
    <t>Unit Cost</t>
  </si>
  <si>
    <t>3.5-4m</t>
  </si>
  <si>
    <t>PVC</t>
  </si>
  <si>
    <t>4.5-5m</t>
  </si>
  <si>
    <t>CONC</t>
  </si>
  <si>
    <t>Material</t>
  </si>
  <si>
    <t>Oversize Cost Recovery</t>
  </si>
  <si>
    <t>Pipe Length (m)</t>
  </si>
  <si>
    <t>WWTP Ultraviolet Disinfection</t>
  </si>
  <si>
    <t>WWTP Activated Primary Clarifier</t>
  </si>
  <si>
    <t>Approach to</t>
  </si>
  <si>
    <t>Financing</t>
  </si>
  <si>
    <t xml:space="preserve">Funding </t>
  </si>
  <si>
    <t>Engineering (15%)</t>
  </si>
  <si>
    <t>Town</t>
  </si>
  <si>
    <t>OSL</t>
  </si>
  <si>
    <t>Assumed Approach to</t>
  </si>
  <si>
    <t>Assumed to Be Front-Ended by Developers and Oversize Recovery Eligible</t>
  </si>
  <si>
    <t>9A/10/12</t>
  </si>
  <si>
    <t>1050 mm Gravity Sewer (Crystal Shores Road to Crystal Green Lane)</t>
  </si>
  <si>
    <t>14A</t>
  </si>
  <si>
    <t>1050 mm Gravity Sewer (Crystal Shores Road to 260m South)</t>
  </si>
  <si>
    <t>13/14B/16</t>
  </si>
  <si>
    <t>1050 mm (North Railway Street to 260m south of Crystal Shores Road)</t>
  </si>
  <si>
    <t>43C</t>
  </si>
  <si>
    <t>1050 mm (Crystal Green Lane to 610m into undeveloped land)</t>
  </si>
  <si>
    <t>Foothills Share</t>
  </si>
  <si>
    <t>Okotoks Share</t>
  </si>
  <si>
    <t>Benefit to Okotoks</t>
  </si>
  <si>
    <t>Regional Benefit</t>
  </si>
  <si>
    <t>Contingency (%)</t>
  </si>
  <si>
    <t>Cost Deductions (Grants, Local Developer Contributions)</t>
  </si>
  <si>
    <t>c</t>
  </si>
  <si>
    <t>d</t>
  </si>
  <si>
    <t>k</t>
  </si>
  <si>
    <t>Sanitary Collection - Oversize</t>
  </si>
  <si>
    <t>Infrastructure Category</t>
  </si>
  <si>
    <t>Sanitary Treatment and Disposal</t>
  </si>
  <si>
    <t/>
  </si>
  <si>
    <t>Project Stage</t>
  </si>
  <si>
    <t>Conceptual</t>
  </si>
  <si>
    <t>Preliminary Design</t>
  </si>
  <si>
    <t>Detailed Design</t>
  </si>
  <si>
    <t>Tendered</t>
  </si>
  <si>
    <t>Project Costs w/o Contingency ($2024)</t>
  </si>
  <si>
    <t>Total Project Cost ($2024)</t>
  </si>
  <si>
    <t>Share</t>
  </si>
  <si>
    <t>Oversize</t>
  </si>
  <si>
    <t>Project Costs w/o Contingency ($2022)</t>
  </si>
  <si>
    <t>Sanitary Collection - OSL</t>
  </si>
  <si>
    <t>Sanitary Treatment - OSL</t>
  </si>
  <si>
    <t>Inflation Rates (%) - Levy Rate</t>
  </si>
  <si>
    <t>25 year window</t>
  </si>
  <si>
    <t>MODEL ASSUMPTIONS</t>
  </si>
  <si>
    <t>WWTP  Dissolved Air Flotation #2 + EQ</t>
  </si>
  <si>
    <t>Oversizing Assumptions - Unit Price Inputs</t>
  </si>
  <si>
    <t>Total Project Cost ($2022)</t>
  </si>
  <si>
    <t>Construction</t>
  </si>
  <si>
    <t>Inflated Project Costs</t>
  </si>
  <si>
    <t>Cumulative</t>
  </si>
  <si>
    <t>Total Project Cost ($2025)</t>
  </si>
  <si>
    <t>Pipe / Road Length (m)</t>
  </si>
  <si>
    <t>Total Project Cost ($2023)</t>
  </si>
  <si>
    <t>Project Costs w/o Contingency ($2025)</t>
  </si>
  <si>
    <t>Benefit to Foothills</t>
  </si>
  <si>
    <t>Regional Share</t>
  </si>
  <si>
    <t>Expenses in 2024 ($2024)</t>
  </si>
  <si>
    <t>Sanitary Collection Oversize</t>
  </si>
  <si>
    <t>Annual Employment Growth</t>
  </si>
  <si>
    <t>Annual Residential Hectare Growth (ha)</t>
  </si>
  <si>
    <t>Annual Employment Hectare Growth (ha)</t>
  </si>
  <si>
    <t>Residential Population</t>
  </si>
  <si>
    <t>Total Project Cost ($2026)</t>
  </si>
  <si>
    <t>2026 City of Calgary DA Rates</t>
  </si>
  <si>
    <t>Future/Remaining Project Costs ($2026)</t>
  </si>
  <si>
    <t>Off-site Levy Project Costs before Cost Deductions</t>
  </si>
  <si>
    <t>Expenses in 2025 ($2025)</t>
  </si>
  <si>
    <t>Calculations based on: </t>
  </si>
  <si>
    <t>Principal is $7,000,000.00</t>
  </si>
  <si>
    <t>Term is 25 Years</t>
  </si>
  <si>
    <t>Loan Type is Blended</t>
  </si>
  <si>
    <t>Deferred payments NA</t>
  </si>
  <si>
    <t>Interest rate of 2.482 %</t>
  </si>
  <si>
    <t>Payment #</t>
  </si>
  <si>
    <t>Payment</t>
  </si>
  <si>
    <t>Principal</t>
  </si>
  <si>
    <t>Interest</t>
  </si>
  <si>
    <t>Balance</t>
  </si>
  <si>
    <t>Totals:</t>
  </si>
  <si>
    <t>Principal is $11,000,000.00</t>
  </si>
  <si>
    <t>Interest rate of 2.42 %</t>
  </si>
  <si>
    <t>Debentures</t>
  </si>
  <si>
    <t>Project Constructed and Funded under existing Debenture?</t>
  </si>
  <si>
    <t>Project Expenditures</t>
  </si>
  <si>
    <t>Grants</t>
  </si>
  <si>
    <t>Assumed Grant Value</t>
  </si>
  <si>
    <t>Debenture Principle ($)</t>
  </si>
  <si>
    <t>Expenses in 2023 ($2023)</t>
  </si>
  <si>
    <t>450 mm Gravity Sewer - Riverside Drive &amp; South Railway Street Upgrade (Northridge Drive/Riverside Drive Intersection - Start of Oak Ave)</t>
  </si>
  <si>
    <t>Project Cost in Year of Delivery</t>
  </si>
  <si>
    <t>2026 Project Costs</t>
  </si>
  <si>
    <t>Sanitary Treatment and Disposal OSL Project List</t>
  </si>
  <si>
    <t>Sanitary Collection OSL Project List</t>
  </si>
  <si>
    <t>Sanitary Collection OSL Project List - Oversize</t>
  </si>
  <si>
    <t>25 Year Program</t>
  </si>
  <si>
    <t>Baseline population taken from Alberta Dashboard</t>
  </si>
  <si>
    <t>Source: https://regionaldashboard.alberta.ca/region/okotoks/population/#/?from=2021&amp;to=2025</t>
  </si>
  <si>
    <t>Sanitary Collection - 25 Year Revolving</t>
  </si>
  <si>
    <t>Cost Recovery Timing</t>
  </si>
  <si>
    <t>2020 Debenture</t>
  </si>
  <si>
    <t>Loan Amount</t>
  </si>
  <si>
    <t>Payment Frequency</t>
  </si>
  <si>
    <t>Borrowing Rate</t>
  </si>
  <si>
    <t>Term (years)</t>
  </si>
  <si>
    <t>2022 Debenture</t>
  </si>
  <si>
    <t>Debenture Payment (P+I) Schedule</t>
  </si>
  <si>
    <t>Total P+I Annually</t>
  </si>
  <si>
    <t>Allocation to Growth</t>
  </si>
  <si>
    <t>Levy Inflation Rate Annually</t>
  </si>
  <si>
    <t>Levy Rate</t>
  </si>
  <si>
    <t>End of 2025 Fund Balances</t>
  </si>
  <si>
    <t>Bi-Annually</t>
  </si>
  <si>
    <t xml:space="preserve">Growth-related Expenditures </t>
  </si>
  <si>
    <t>Town Financed</t>
  </si>
  <si>
    <t>Current Levy ($2026)</t>
  </si>
  <si>
    <t>Bank of Canada:</t>
  </si>
  <si>
    <t>Alberta Capital Finance:</t>
  </si>
  <si>
    <t>check:</t>
  </si>
  <si>
    <t>Total Interest Annually</t>
  </si>
  <si>
    <t>Off-Site Levy Fund Balances as at December 31, 2025</t>
  </si>
  <si>
    <t>Sanitary Collection Levy</t>
  </si>
  <si>
    <t>Sanitary Treatment &amp; Disposal Levy</t>
  </si>
  <si>
    <t>Land Description</t>
  </si>
  <si>
    <t>Development Area (ha)</t>
  </si>
  <si>
    <t>D'Arcy Phase 11 (MR)</t>
  </si>
  <si>
    <t>D'Arcy Phase 14</t>
  </si>
  <si>
    <t>D'Arcy Phase 15</t>
  </si>
  <si>
    <t>Wedderburn Phase 8</t>
  </si>
  <si>
    <t>Total Principal Annually</t>
  </si>
  <si>
    <t>Outstanding Principal</t>
  </si>
  <si>
    <t>Debenture Principal Advanced Remaining</t>
  </si>
  <si>
    <t>[6 x 7]</t>
  </si>
  <si>
    <t>[2+3-4-5+8]</t>
  </si>
  <si>
    <t>[9+10+11]</t>
  </si>
  <si>
    <t>Existing Debenture  Payments (Growth Portion Only)</t>
  </si>
  <si>
    <t>Reserve Fund Interest Accural</t>
  </si>
  <si>
    <t>Infrastructure Capacity Reached</t>
  </si>
  <si>
    <t>Reserve Fund Interest Accrual</t>
  </si>
  <si>
    <t>2026 Assumed Agreements Executed</t>
  </si>
  <si>
    <t>Mid 2026
Totals (ha)</t>
  </si>
  <si>
    <t>Annual</t>
  </si>
  <si>
    <t>Burnswest Phase 2</t>
  </si>
  <si>
    <t>Ridgemont Phase 1</t>
  </si>
  <si>
    <t>Tillotson Phase 2</t>
  </si>
  <si>
    <t>D'Arcy Phase 12</t>
  </si>
  <si>
    <t>D'Arcy Phase 18</t>
  </si>
  <si>
    <t>D'Arcy Phase 19</t>
  </si>
  <si>
    <t>Wedderburn Phase 11</t>
  </si>
  <si>
    <t>The upgrades include construction of a new channel and expanded disinfection capacities with new reactors for growth.</t>
  </si>
  <si>
    <t>Primary treatment is expanded by way of a second activated clarifier to accommodate rising flows from growth.</t>
  </si>
  <si>
    <t>Equalization tank is modified and expanded to regulate rising flows.  In addition, upgrades at the sludge management and solids section of the plant include expanded capacity for dissolved air flotation which separates solids from liquid streams.</t>
  </si>
  <si>
    <t>2025 Agreement Carry-over</t>
  </si>
  <si>
    <t>2026 Agreement Collections (50%)</t>
  </si>
  <si>
    <t>&lt;- 2026 agreements executed are only collected at 50% in year 1</t>
  </si>
  <si>
    <t>2026 Collections</t>
  </si>
  <si>
    <t>2027 Collections</t>
  </si>
  <si>
    <t>HOW TO USE THIS DOCUMENT</t>
  </si>
  <si>
    <t xml:space="preserve">Description </t>
  </si>
  <si>
    <t>Tab Title</t>
  </si>
  <si>
    <t>Oversize Costs</t>
  </si>
  <si>
    <t>2025 OSL Account Detail</t>
  </si>
  <si>
    <t>Total to Date</t>
  </si>
  <si>
    <t>2026 Collections Summary</t>
  </si>
  <si>
    <t xml:space="preserve">2025 Off-Site Levy Fund Balances, Payments, agreements executed, and project expenditures, used to calculate levy fund opening balance at start of 2026 for each infrastructure category. </t>
  </si>
  <si>
    <t xml:space="preserve">2026 Off-Site Levy fund payments collected to date, agreements executed to date, and upcoming agreements to be executed in 2026, used in Cost Recovery Timing tab for remaining 2026 growth projection. </t>
  </si>
  <si>
    <t>Debentures for OSL Model</t>
  </si>
  <si>
    <t xml:space="preserve">Cost Recovery Timing </t>
  </si>
  <si>
    <t>Project List</t>
  </si>
  <si>
    <t xml:space="preserve">Includes all project information including descriptions, timing, allocation of benefit, and costs. </t>
  </si>
  <si>
    <t>Debenture Inputs</t>
  </si>
  <si>
    <t>Oustanding Balance</t>
  </si>
  <si>
    <t>Outstanding Balance</t>
  </si>
  <si>
    <t>2020 Debeture</t>
  </si>
  <si>
    <t>2022 Debeture</t>
  </si>
  <si>
    <t>25 Year Debenture</t>
  </si>
  <si>
    <t>Assumptions</t>
  </si>
  <si>
    <t>2026 City of Calgary Development Agreement Rates for Sanitary Collection and Transportation utilitzed to calculate improvements beyond local development costs to be recovered through the OSL.</t>
  </si>
  <si>
    <t xml:space="preserve">Population growth table for Okotoks based on Growth Projections from Okotoks Growth Strategy (2025). Cost Recovery approach and contributing hectares varies for each infrastructure category. </t>
  </si>
  <si>
    <t>Assumed Remaining 2026 Growth (June 1, 2026 to December 31, 2026):</t>
  </si>
  <si>
    <t>Assumed Total Contributing Hectares</t>
  </si>
  <si>
    <t>Assumed Annual Growth - Mid 2026 Onwards
(ha)</t>
  </si>
  <si>
    <t>Population and Emploiyment Growth Projections - Based on Okotoks Growth Strategy (2024)</t>
  </si>
  <si>
    <t>Others</t>
  </si>
  <si>
    <t>Front-Ended by Others and Oversize Recovery Eligible</t>
  </si>
  <si>
    <t>Expenses in 2021 ($2021)</t>
  </si>
  <si>
    <t>Rational</t>
  </si>
  <si>
    <t>Based on 5-year Average (2021-2025) - Alberta Capital Finance (25-year debenture)</t>
  </si>
  <si>
    <t>Allocation of Debenture Payment to Growth</t>
  </si>
  <si>
    <t>Sanitary Collection - Oversize - Projected Cashflow</t>
  </si>
  <si>
    <t>Aniticipated Expenditure</t>
  </si>
  <si>
    <t>25yr Window and Infrastructure Capacity Reached (Treatment and Disposal)</t>
  </si>
  <si>
    <t>Assumed expenditure (inflated annually) based on identified project and cost recovery approach.</t>
  </si>
  <si>
    <t>Anticipated Annual Revenue Collected</t>
  </si>
  <si>
    <t>Anticipated Cumulative Revenue Collected</t>
  </si>
  <si>
    <t>Anticipated Annual Expenditures Total</t>
  </si>
  <si>
    <t>Interest Earned Rate</t>
  </si>
  <si>
    <t xml:space="preserve">Interest Earned </t>
  </si>
  <si>
    <t>Based on average interest earned on positive fund balances from Town of Okotoks (2021-2025)</t>
  </si>
  <si>
    <t>Inflation Rates (%) - Project Costs</t>
  </si>
  <si>
    <t xml:space="preserve">Project Cost Inflation - Applied to Future Project Costs - </t>
  </si>
  <si>
    <t>Project Cost Inflation - to bring Project Costs to $2026 (save for Recreation Projects) -</t>
  </si>
  <si>
    <t xml:space="preserve">Project Cost Inflation - to bring Project Costs to $2026 (for Recreation Projects) - </t>
  </si>
  <si>
    <t>2026 Payments Collected (1st Payment of 2026 Agreements Executed and 2nd Payment of 2025 Agreements Executed)</t>
  </si>
  <si>
    <t xml:space="preserve">2026 Payments Collected (2025 Agreements - 2nd Payments) </t>
  </si>
  <si>
    <t>Improvements provided lifecycle benefit and growth benefit.  This improvement provides shared growth and lifecycle renewal benefit</t>
  </si>
  <si>
    <t>Improvements that provide benefit related to capacity are allocated 100% to growth, while improvements that provide benefit related to compliance and condition are shared between existing and future development. 
Total benefitting population = 15,056 people</t>
  </si>
  <si>
    <t>Improvements that provide benefit related to capacity are allocated 100% to growth, while improvements that provide benefit related to compliance and condition are shared between existing and future development. 
Total benefitting population = 33,320 people</t>
  </si>
  <si>
    <t>Improvements that provide benefit related to capacity are allocated 100% to growth, while improvements that provide benefit related to compliance and condition are shared between existing and future development. 
Total benefitting population = 37,240 people</t>
  </si>
  <si>
    <t>Allocation of Benefit Rationale</t>
  </si>
  <si>
    <t xml:space="preserve">Improvements are either new extensions connecting new development to the sanitary collection system or upgrades to existing infrastructure to accommodate additional capacity for new development, allocation of benefit is 100% to new development.   </t>
  </si>
  <si>
    <t>Project front-ender has fully recovered costs</t>
  </si>
  <si>
    <t>Anticipated Cumulative Expenditures Total</t>
  </si>
  <si>
    <t>Row reflects remaining costs to be recovered. Assumes "First In, First Out" approach.</t>
  </si>
  <si>
    <t>Cumulative Revenue - Cumulative Expenditures</t>
  </si>
  <si>
    <t>Assumed Agreements for Remainder of 2026</t>
  </si>
  <si>
    <t>&lt;- Based on received subdivision applications</t>
  </si>
  <si>
    <t>Model Tabs</t>
  </si>
  <si>
    <t xml:space="preserve">The models function by using a goal seek to determine levy rate (cell I30) based on setting the Off-site Levy Fee Reserve Fund Closing Balance (column N) to be zero in the balance year.
Steps:
1. Data tab &gt; What-If Analysis &gt; Goal Seek
2. Set cell: balance year in Column N
    To value: 0
    By changing cell: I30
3. Click OK and accept new results
</t>
  </si>
  <si>
    <t>Project Costs w/o Contingency ($2023)</t>
  </si>
  <si>
    <t>=</t>
  </si>
  <si>
    <t>Low</t>
  </si>
  <si>
    <t>High</t>
  </si>
  <si>
    <t>Sanitary Oversize</t>
  </si>
  <si>
    <t>Oversized Portion</t>
  </si>
  <si>
    <t>This workbook contains the financial models used to determine the Off-site Levy (OSL) rates as a part of the 2026 Off-site Levy Bylaw update. This financial model uses the latest information and assumptions available at the time of the update.
The following tables describe the tabs contained within this workbook:</t>
  </si>
  <si>
    <t>This tab provides the assumptions that feed into the OSL infrastruture category models including interest &amp; inflation rates, project contingencies, and 2025 OSL Reserve Fund Balances.</t>
  </si>
  <si>
    <t xml:space="preserve">Loan schedules from debt advanced by the Town to finance infrastructure, including annual interest and principle payments. </t>
  </si>
  <si>
    <t>49A</t>
  </si>
  <si>
    <t>49B</t>
  </si>
  <si>
    <t>49C</t>
  </si>
  <si>
    <t>49D</t>
  </si>
  <si>
    <t>375 mm Gravity Sewer</t>
  </si>
  <si>
    <t>Within 2 Years</t>
  </si>
  <si>
    <t>Within 1 Year</t>
  </si>
  <si>
    <t>Upon Execution</t>
  </si>
  <si>
    <t xml:space="preserve">Levy calculated based on "Goal Seek" Function. "Goal Seek" to zero in 2053 to account for 3rd Payment from 2051 growth. </t>
  </si>
  <si>
    <t>OSL Levy Summary</t>
  </si>
  <si>
    <t>Proposed Levy ($2026)</t>
  </si>
  <si>
    <t>Carrying costs are not assumed for infrastructure front-ended by developer</t>
  </si>
  <si>
    <t>Interest Earned - Positive (+)</t>
  </si>
  <si>
    <t>Interest Paid on Debt or Deficit (-) - TOWN FRONT ENDED</t>
  </si>
  <si>
    <t>Interest Paid on Debt or Deficit (-) - DEVELOPER FRONT ENDED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</si>
</sst>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7">
    <numFmt numFmtId="6" formatCode="&quot;$&quot;#,##0_);[Red]\(&quot;$&quot;#,##0\)"/>
    <numFmt numFmtId="8" formatCode="&quot;$&quot;#,##0.00_);[Red]\(&quot;$&quot;#,##0.00\)"/>
    <numFmt numFmtId="42" formatCode="_(&quot;$&quot;* #,##0_);_(&quot;$&quot;* \(#,##0\);_(&quot;$&quot;* &quot;-&quot;_);_(@_)"/>
    <numFmt numFmtId="44" formatCode="_(&quot;$&quot;* #,##0.00_);_(&quot;$&quot;* \(#,##0.00\);_(&quot;$&quot;* &quot;-&quot;??_);_(@_)"/>
    <numFmt numFmtId="43" formatCode="_(* #,##0.00_);_(* \(#,##0.00\);_(* &quot;-&quot;??_);_(@_)"/>
    <numFmt numFmtId="164" formatCode="_-&quot;$&quot;* #,##0_-;\-&quot;$&quot;* #,##0_-;_-&quot;$&quot;* &quot;-&quot;_-;_-@_-"/>
    <numFmt numFmtId="165" formatCode="_-&quot;$&quot;* #,##0.00_-;\-&quot;$&quot;* #,##0.00_-;_-&quot;$&quot;* &quot;-&quot;??_-;_-@_-"/>
    <numFmt numFmtId="166" formatCode="_-* #,##0.00_-;\-* #,##0.00_-;_-* &quot;-&quot;??_-;_-@_-"/>
    <numFmt numFmtId="167" formatCode="_-&quot;$&quot;* #,##0_-;\-&quot;$&quot;* #,##0_-;_-&quot;$&quot;* &quot;-&quot;??_-;_-@_-"/>
    <numFmt numFmtId="168" formatCode="0.0%"/>
    <numFmt numFmtId="169" formatCode="_(* #,##0_);_(* \(#,##0\);_(* &quot;-&quot;??_);_(@_)"/>
    <numFmt numFmtId="170" formatCode="&quot;$&quot;#,##0"/>
    <numFmt numFmtId="171" formatCode="_(&quot;$&quot;* #,##0_);_(&quot;$&quot;* \(#,##0\);_(&quot;$&quot;* &quot;-&quot;??_);_(@_)"/>
    <numFmt numFmtId="172" formatCode="&quot;$&quot;#,##0.00"/>
    <numFmt numFmtId="173" formatCode="&quot;$&quot;#,##0.0"/>
    <numFmt numFmtId="174" formatCode="&quot;$&quot;#,##0.00;[Red]&quot;$&quot;#,##0.00"/>
    <numFmt numFmtId="175" formatCode="0.000"/>
  </numFmts>
  <fonts count="104">
    <font>
      <sz val="11"/>
      <color theme="1"/>
      <name val="Calibri"/>
      <family val="2"/>
      <scheme val="minor"/>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1"/>
      <name val="Calibri"/>
      <family val="2"/>
    </font>
    <font>
      <sz val="11"/>
      <color theme="1"/>
      <name val="Calibri"/>
      <family val="2"/>
      <scheme val="minor"/>
    </font>
    <font>
      <b/>
      <sz val="12"/>
      <name val="Arial"/>
      <family val="2"/>
    </font>
    <font>
      <sz val="10"/>
      <name val="Arial"/>
      <family val="2"/>
    </font>
    <font>
      <b/>
      <sz val="10"/>
      <name val="Arial"/>
      <family val="2"/>
    </font>
    <font>
      <b/>
      <sz val="11"/>
      <name val="Arial"/>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1"/>
    </font>
    <font>
      <b/>
      <sz val="11"/>
      <color indexed="8"/>
      <name val="Calibri"/>
      <family val="2"/>
    </font>
    <font>
      <sz val="11"/>
      <color indexed="10"/>
      <name val="Calibri"/>
      <family val="2"/>
    </font>
    <font>
      <sz val="11"/>
      <color theme="1"/>
      <name val="Calibri"/>
      <family val="2"/>
    </font>
    <font>
      <b/>
      <sz val="11"/>
      <color theme="1"/>
      <name val="Calibri"/>
      <family val="2"/>
      <scheme val="minor"/>
    </font>
    <font>
      <sz val="11"/>
      <name val="Calibri"/>
      <family val="2"/>
      <scheme val="minor"/>
    </font>
    <font>
      <b/>
      <sz val="11"/>
      <color theme="1"/>
      <name val="Calibri"/>
      <family val="2"/>
    </font>
    <font>
      <b/>
      <sz val="11"/>
      <name val="Calibri"/>
      <family val="2"/>
    </font>
    <font>
      <b/>
      <sz val="11"/>
      <color rgb="FF0000FF"/>
      <name val="Calibri"/>
      <family val="2"/>
    </font>
    <font>
      <sz val="10"/>
      <name val="Arial"/>
      <family val="2"/>
    </font>
    <font>
      <sz val="8"/>
      <name val="Arial"/>
      <family val="2"/>
    </font>
    <font>
      <sz val="10"/>
      <name val="Arial"/>
      <family val="2"/>
    </font>
    <font>
      <sz val="8"/>
      <name val="Arial Cyr"/>
      <charset val="204"/>
    </font>
    <font>
      <u/>
      <sz val="11"/>
      <color theme="10"/>
      <name val="Calibri"/>
      <family val="2"/>
    </font>
    <font>
      <b/>
      <sz val="11"/>
      <name val="Calibri"/>
      <family val="2"/>
      <scheme val="minor"/>
    </font>
    <font>
      <sz val="10"/>
      <color theme="1"/>
      <name val="Calibri "/>
    </font>
    <font>
      <b/>
      <sz val="10"/>
      <color theme="1"/>
      <name val="Calibri "/>
    </font>
    <font>
      <sz val="10"/>
      <name val="Calibri"/>
      <family val="1"/>
      <scheme val="minor"/>
    </font>
    <font>
      <sz val="10"/>
      <name val="Arial"/>
      <family val="2"/>
    </font>
    <font>
      <sz val="11"/>
      <color theme="1"/>
      <name val="Agency FB"/>
      <family val="2"/>
    </font>
    <font>
      <sz val="11"/>
      <color rgb="FF3F3F76"/>
      <name val="Agency FB"/>
      <family val="2"/>
    </font>
    <font>
      <b/>
      <sz val="11"/>
      <color rgb="FFFA7D00"/>
      <name val="Agency FB"/>
      <family val="2"/>
    </font>
    <font>
      <b/>
      <i/>
      <sz val="11"/>
      <name val="Calibri"/>
      <family val="2"/>
      <scheme val="minor"/>
    </font>
    <font>
      <sz val="11"/>
      <color rgb="FFFF0000"/>
      <name val="Calibri"/>
      <family val="2"/>
      <scheme val="minor"/>
    </font>
    <font>
      <b/>
      <sz val="11"/>
      <color rgb="FFFF0000"/>
      <name val="Calibri"/>
      <family val="2"/>
      <scheme val="minor"/>
    </font>
    <font>
      <sz val="12"/>
      <color theme="1"/>
      <name val="Calibri"/>
      <family val="2"/>
      <scheme val="minor"/>
    </font>
    <font>
      <sz val="10"/>
      <color theme="1"/>
      <name val="Calibri"/>
      <family val="2"/>
      <scheme val="minor"/>
    </font>
    <font>
      <sz val="8"/>
      <color theme="1"/>
      <name val="Calibri"/>
      <family val="2"/>
      <scheme val="minor"/>
    </font>
    <font>
      <b/>
      <sz val="8"/>
      <color theme="1"/>
      <name val="Montserrat Medium"/>
    </font>
    <font>
      <sz val="8"/>
      <color theme="1"/>
      <name val="Montserrat Medium"/>
    </font>
    <font>
      <u/>
      <sz val="10"/>
      <color theme="10"/>
      <name val="Arial"/>
      <family val="2"/>
    </font>
    <font>
      <b/>
      <sz val="16"/>
      <color theme="1"/>
      <name val="Montserrat Medium"/>
    </font>
    <font>
      <sz val="8"/>
      <name val="Montserrat Medium"/>
    </font>
    <font>
      <u/>
      <sz val="11"/>
      <color theme="4"/>
      <name val="Calibri"/>
      <family val="2"/>
    </font>
    <font>
      <b/>
      <u/>
      <sz val="11"/>
      <color theme="4"/>
      <name val="Calibri"/>
      <family val="2"/>
    </font>
    <font>
      <sz val="11"/>
      <color rgb="FF0066FF"/>
      <name val="Calibri"/>
      <family val="2"/>
    </font>
    <font>
      <sz val="11"/>
      <name val="Calibri"/>
      <family val="2"/>
    </font>
    <font>
      <sz val="11"/>
      <name val="Calibri"/>
      <family val="2"/>
      <scheme val="minor"/>
    </font>
    <font>
      <b/>
      <sz val="12"/>
      <color theme="1"/>
      <name val="Calibri "/>
    </font>
    <font>
      <sz val="11"/>
      <name val="Calibri"/>
      <family val="2"/>
    </font>
    <font>
      <sz val="11"/>
      <name val="Calibri"/>
      <family val="2"/>
      <scheme val="minor"/>
    </font>
    <font>
      <sz val="9"/>
      <color theme="1"/>
      <name val="Calibri"/>
      <family val="2"/>
      <scheme val="minor"/>
    </font>
    <font>
      <sz val="10"/>
      <color theme="1"/>
      <name val="Calibri"/>
      <family val="2"/>
    </font>
    <font>
      <sz val="11"/>
      <color theme="0" tint="-0.34998626667073579"/>
      <name val="Calibri"/>
      <family val="2"/>
      <scheme val="minor"/>
    </font>
    <font>
      <sz val="10"/>
      <color theme="0" tint="-0.34998626667073579"/>
      <name val="Calibri "/>
    </font>
    <font>
      <sz val="11"/>
      <color theme="1"/>
      <name val="Segoe UI"/>
      <family val="2"/>
    </font>
    <font>
      <b/>
      <sz val="11"/>
      <color rgb="FF000000"/>
      <name val="Segoe UI"/>
      <family val="2"/>
    </font>
    <font>
      <b/>
      <sz val="11"/>
      <color theme="1"/>
      <name val="Segoe UI"/>
      <family val="2"/>
    </font>
    <font>
      <b/>
      <u val="singleAccounting"/>
      <sz val="11"/>
      <color rgb="FFFF0000"/>
      <name val="Calibri"/>
      <family val="2"/>
    </font>
    <font>
      <sz val="9"/>
      <color theme="1"/>
      <name val="Arial"/>
      <family val="2"/>
    </font>
    <font>
      <b/>
      <sz val="14"/>
      <color theme="1"/>
      <name val="Montserrat"/>
    </font>
    <font>
      <b/>
      <sz val="11"/>
      <name val="Montserrat Medium"/>
    </font>
    <font>
      <sz val="11"/>
      <name val="Montserrat Medium"/>
    </font>
    <font>
      <b/>
      <sz val="11"/>
      <color theme="1"/>
      <name val="Montserrat Medium"/>
    </font>
    <font>
      <sz val="11"/>
      <color theme="1"/>
      <name val="Montserrat Medium"/>
    </font>
    <font>
      <sz val="10"/>
      <name val="Montserrat Medium"/>
    </font>
    <font>
      <b/>
      <sz val="11"/>
      <color rgb="FF000000"/>
      <name val="Montserrat Medium"/>
    </font>
    <font>
      <b/>
      <sz val="20"/>
      <color theme="1"/>
      <name val="Montserrat Medium"/>
    </font>
    <font>
      <sz val="20"/>
      <color theme="1"/>
      <name val="Montserrat Medium"/>
    </font>
    <font>
      <b/>
      <sz val="10"/>
      <name val="Montserrat Medium"/>
    </font>
    <font>
      <b/>
      <sz val="16"/>
      <color theme="1"/>
      <name val="Calibri"/>
      <family val="2"/>
      <scheme val="minor"/>
    </font>
    <font>
      <sz val="12"/>
      <name val="Arial"/>
      <family val="2"/>
    </font>
    <font>
      <sz val="10"/>
      <color theme="1"/>
      <name val="Montserrat Medium"/>
    </font>
    <font>
      <sz val="9"/>
      <color theme="1"/>
      <name val="Montserrat Medium"/>
    </font>
    <font>
      <sz val="11"/>
      <color theme="1"/>
      <name val="Montserrat"/>
    </font>
    <font>
      <b/>
      <sz val="9"/>
      <color theme="1"/>
      <name val="Montserrat"/>
    </font>
    <font>
      <sz val="9"/>
      <color theme="1"/>
      <name val="Montserrat"/>
    </font>
    <font>
      <b/>
      <sz val="11"/>
      <color theme="1"/>
      <name val="Montserrat"/>
    </font>
    <font>
      <sz val="11"/>
      <name val="Montserrat"/>
    </font>
    <font>
      <b/>
      <sz val="11"/>
      <name val="Montserrat"/>
    </font>
    <font>
      <b/>
      <u/>
      <sz val="10"/>
      <color rgb="FF000000"/>
      <name val="Montserrat"/>
    </font>
    <font>
      <b/>
      <sz val="10"/>
      <color rgb="FF000000"/>
      <name val="Montserrat"/>
    </font>
    <font>
      <sz val="11"/>
      <name val="Calibri"/>
      <family val="2"/>
    </font>
    <font>
      <sz val="11"/>
      <name val="Calibri"/>
      <family val="2"/>
      <scheme val="minor"/>
    </font>
    <font>
      <sz val="8"/>
      <color theme="1"/>
      <name val="Calibri"/>
      <family val="2"/>
    </font>
    <font>
      <sz val="11"/>
      <color theme="1"/>
      <name val="Calibri  "/>
    </font>
  </fonts>
  <fills count="52">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rgb="FFFFFF00"/>
        <bgColor indexed="64"/>
      </patternFill>
    </fill>
    <fill>
      <patternFill patternType="solid">
        <fgColor theme="6" tint="0.59999389629810485"/>
        <bgColor indexed="64"/>
      </patternFill>
    </fill>
    <fill>
      <patternFill patternType="solid">
        <fgColor theme="9" tint="0.39997558519241921"/>
        <bgColor indexed="64"/>
      </patternFill>
    </fill>
    <fill>
      <patternFill patternType="solid">
        <fgColor theme="0"/>
        <bgColor indexed="64"/>
      </patternFill>
    </fill>
    <fill>
      <patternFill patternType="solid">
        <fgColor indexed="9"/>
        <bgColor indexed="9"/>
      </patternFill>
    </fill>
    <fill>
      <patternFill patternType="solid">
        <fgColor theme="0" tint="-0.34998626667073579"/>
        <bgColor indexed="64"/>
      </patternFill>
    </fill>
    <fill>
      <patternFill patternType="solid">
        <fgColor theme="0" tint="-0.14999847407452621"/>
        <bgColor indexed="64"/>
      </patternFill>
    </fill>
    <fill>
      <patternFill patternType="solid">
        <fgColor rgb="FF00B0F0"/>
        <bgColor indexed="64"/>
      </patternFill>
    </fill>
    <fill>
      <patternFill patternType="solid">
        <fgColor theme="0" tint="-0.249977111117893"/>
        <bgColor indexed="64"/>
      </patternFill>
    </fill>
    <fill>
      <patternFill patternType="solid">
        <fgColor theme="2" tint="-9.9978637043366805E-2"/>
        <bgColor indexed="64"/>
      </patternFill>
    </fill>
    <fill>
      <patternFill patternType="solid">
        <fgColor rgb="FFFFCC99"/>
      </patternFill>
    </fill>
    <fill>
      <patternFill patternType="solid">
        <fgColor rgb="FFF2F2F2"/>
      </patternFill>
    </fill>
    <fill>
      <patternFill patternType="solid">
        <fgColor theme="6" tint="0.79998168889431442"/>
        <bgColor theme="6" tint="0.79998168889431442"/>
      </patternFill>
    </fill>
    <fill>
      <patternFill patternType="solid">
        <fgColor theme="5" tint="0.59999389629810485"/>
        <bgColor indexed="64"/>
      </patternFill>
    </fill>
    <fill>
      <patternFill patternType="solid">
        <fgColor theme="4" tint="0.79998168889431442"/>
        <bgColor indexed="64"/>
      </patternFill>
    </fill>
    <fill>
      <patternFill patternType="solid">
        <fgColor theme="9" tint="0.79998168889431442"/>
        <bgColor indexed="64"/>
      </patternFill>
    </fill>
    <fill>
      <patternFill patternType="solid">
        <fgColor theme="2" tint="-0.249977111117893"/>
        <bgColor indexed="64"/>
      </patternFill>
    </fill>
    <fill>
      <patternFill patternType="solid">
        <fgColor theme="0" tint="-4.9989318521683403E-2"/>
        <bgColor indexed="64"/>
      </patternFill>
    </fill>
    <fill>
      <patternFill patternType="solid">
        <fgColor theme="5" tint="0.79998168889431442"/>
        <bgColor indexed="64"/>
      </patternFill>
    </fill>
    <fill>
      <patternFill patternType="solid">
        <fgColor rgb="FFFFFFFF"/>
        <bgColor indexed="64"/>
      </patternFill>
    </fill>
    <fill>
      <patternFill patternType="solid">
        <fgColor theme="6"/>
        <bgColor indexed="64"/>
      </patternFill>
    </fill>
    <fill>
      <patternFill patternType="solid">
        <fgColor rgb="FFF8CBAD"/>
        <bgColor rgb="FF000000"/>
      </patternFill>
    </fill>
    <fill>
      <patternFill patternType="solid">
        <fgColor theme="6" tint="0.79998168889431442"/>
        <bgColor indexed="64"/>
      </patternFill>
    </fill>
    <fill>
      <patternFill patternType="solid">
        <fgColor indexed="22"/>
        <bgColor indexed="64"/>
      </patternFill>
    </fill>
    <fill>
      <patternFill patternType="solid">
        <fgColor theme="7"/>
        <bgColor indexed="64"/>
      </patternFill>
    </fill>
    <fill>
      <patternFill patternType="solid">
        <fgColor theme="5" tint="0.79998168889431442"/>
        <bgColor rgb="FF000000"/>
      </patternFill>
    </fill>
    <fill>
      <patternFill patternType="solid">
        <fgColor theme="5" tint="0.79998168889431442"/>
        <bgColor rgb="FFDDEBF7"/>
      </patternFill>
    </fill>
    <fill>
      <patternFill patternType="solid">
        <fgColor theme="7" tint="0.39997558519241921"/>
        <bgColor indexed="64"/>
      </patternFill>
    </fill>
  </fills>
  <borders count="93">
    <border>
      <left/>
      <right/>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right style="thin">
        <color indexed="64"/>
      </right>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right/>
      <top/>
      <bottom style="thin">
        <color indexed="64"/>
      </bottom>
      <diagonal/>
    </border>
    <border>
      <left/>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style="thin">
        <color indexed="64"/>
      </right>
      <top style="thin">
        <color indexed="64"/>
      </top>
      <bottom style="thin">
        <color indexed="64"/>
      </bottom>
      <diagonal/>
    </border>
    <border>
      <left/>
      <right/>
      <top style="double">
        <color auto="1"/>
      </top>
      <bottom style="medium">
        <color auto="1"/>
      </bottom>
      <diagonal/>
    </border>
    <border>
      <left style="thin">
        <color auto="1"/>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diagonal/>
    </border>
    <border>
      <left style="thin">
        <color indexed="64"/>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bottom style="medium">
        <color indexed="64"/>
      </bottom>
      <diagonal/>
    </border>
    <border>
      <left style="thin">
        <color indexed="64"/>
      </left>
      <right/>
      <top style="medium">
        <color indexed="64"/>
      </top>
      <bottom style="thin">
        <color indexed="64"/>
      </bottom>
      <diagonal/>
    </border>
    <border>
      <left style="thin">
        <color indexed="64"/>
      </left>
      <right style="thin">
        <color indexed="64"/>
      </right>
      <top style="thin">
        <color indexed="64"/>
      </top>
      <bottom/>
      <diagonal/>
    </border>
    <border>
      <left style="double">
        <color indexed="63"/>
      </left>
      <right style="double">
        <color indexed="63"/>
      </right>
      <top style="double">
        <color indexed="63"/>
      </top>
      <bottom style="double">
        <color indexed="63"/>
      </bottom>
      <diagonal/>
    </border>
    <border>
      <left style="thin">
        <color indexed="64"/>
      </left>
      <right/>
      <top style="thin">
        <color indexed="64"/>
      </top>
      <bottom/>
      <diagonal/>
    </border>
    <border>
      <left/>
      <right/>
      <top style="thin">
        <color indexed="64"/>
      </top>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top/>
      <bottom style="thin">
        <color indexed="64"/>
      </bottom>
      <diagonal/>
    </border>
    <border>
      <left style="medium">
        <color indexed="64"/>
      </left>
      <right/>
      <top/>
      <bottom style="thin">
        <color indexed="64"/>
      </bottom>
      <diagonal/>
    </border>
    <border>
      <left/>
      <right style="medium">
        <color indexed="64"/>
      </right>
      <top style="medium">
        <color indexed="64"/>
      </top>
      <bottom/>
      <diagonal/>
    </border>
    <border>
      <left/>
      <right style="medium">
        <color indexed="64"/>
      </right>
      <top style="thin">
        <color indexed="64"/>
      </top>
      <bottom style="thin">
        <color indexed="64"/>
      </bottom>
      <diagonal/>
    </border>
    <border>
      <left/>
      <right style="medium">
        <color indexed="64"/>
      </right>
      <top/>
      <bottom style="thin">
        <color indexed="64"/>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thin">
        <color indexed="64"/>
      </top>
      <bottom/>
      <diagonal/>
    </border>
    <border>
      <left style="medium">
        <color indexed="64"/>
      </left>
      <right style="thin">
        <color indexed="64"/>
      </right>
      <top/>
      <bottom style="thin">
        <color indexed="64"/>
      </bottom>
      <diagonal/>
    </border>
    <border>
      <left style="thin">
        <color rgb="FF7F7F7F"/>
      </left>
      <right style="thin">
        <color rgb="FF7F7F7F"/>
      </right>
      <top style="thin">
        <color rgb="FF7F7F7F"/>
      </top>
      <bottom style="thin">
        <color rgb="FF7F7F7F"/>
      </bottom>
      <diagonal/>
    </border>
    <border>
      <left/>
      <right style="thin">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bottom style="thin">
        <color indexed="64"/>
      </bottom>
      <diagonal/>
    </border>
    <border>
      <left/>
      <right/>
      <top/>
      <bottom style="double">
        <color indexed="64"/>
      </bottom>
      <diagonal/>
    </border>
    <border>
      <left/>
      <right/>
      <top style="double">
        <color indexed="64"/>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style="thin">
        <color indexed="64"/>
      </top>
      <bottom style="medium">
        <color indexed="64"/>
      </bottom>
      <diagonal/>
    </border>
    <border>
      <left style="thin">
        <color indexed="64"/>
      </left>
      <right style="medium">
        <color indexed="64"/>
      </right>
      <top/>
      <bottom style="medium">
        <color indexed="64"/>
      </bottom>
      <diagonal/>
    </border>
    <border>
      <left/>
      <right style="medium">
        <color indexed="64"/>
      </right>
      <top style="thin">
        <color indexed="64"/>
      </top>
      <bottom/>
      <diagonal/>
    </border>
    <border>
      <left/>
      <right style="medium">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right style="thin">
        <color indexed="64"/>
      </right>
      <top style="medium">
        <color indexed="64"/>
      </top>
      <bottom style="thin">
        <color indexed="64"/>
      </bottom>
      <diagonal/>
    </border>
    <border>
      <left style="thin">
        <color auto="1"/>
      </left>
      <right/>
      <top style="thin">
        <color indexed="64"/>
      </top>
      <bottom style="medium">
        <color indexed="64"/>
      </bottom>
      <diagonal/>
    </border>
    <border>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top style="thin">
        <color indexed="64"/>
      </top>
      <bottom style="thin">
        <color indexed="64"/>
      </bottom>
      <diagonal/>
    </border>
    <border>
      <left style="medium">
        <color indexed="64"/>
      </left>
      <right style="medium">
        <color indexed="64"/>
      </right>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bottom style="double">
        <color indexed="64"/>
      </bottom>
      <diagonal/>
    </border>
    <border>
      <left/>
      <right style="medium">
        <color indexed="64"/>
      </right>
      <top/>
      <bottom style="double">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s>
  <cellStyleXfs count="240">
    <xf numFmtId="0" fontId="0" fillId="0" borderId="0"/>
    <xf numFmtId="165" fontId="9" fillId="0" borderId="0" applyFont="0" applyFill="0" applyBorder="0" applyAlignment="0" applyProtection="0"/>
    <xf numFmtId="0" fontId="11" fillId="0" borderId="0"/>
    <xf numFmtId="0" fontId="14" fillId="2"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8" borderId="0" applyNumberFormat="0" applyBorder="0" applyAlignment="0" applyProtection="0"/>
    <xf numFmtId="0" fontId="14" fillId="11" borderId="0" applyNumberFormat="0" applyBorder="0" applyAlignment="0" applyProtection="0"/>
    <xf numFmtId="0" fontId="15" fillId="12"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9" borderId="0" applyNumberFormat="0" applyBorder="0" applyAlignment="0" applyProtection="0"/>
    <xf numFmtId="0" fontId="16" fillId="3" borderId="0" applyNumberFormat="0" applyBorder="0" applyAlignment="0" applyProtection="0"/>
    <xf numFmtId="0" fontId="17" fillId="20" borderId="9" applyNumberFormat="0" applyAlignment="0" applyProtection="0"/>
    <xf numFmtId="0" fontId="18" fillId="21" borderId="10" applyNumberFormat="0" applyAlignment="0" applyProtection="0"/>
    <xf numFmtId="166"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0" fontId="19" fillId="0" borderId="0" applyNumberFormat="0" applyFill="0" applyBorder="0" applyAlignment="0" applyProtection="0"/>
    <xf numFmtId="0" fontId="20" fillId="4" borderId="0" applyNumberFormat="0" applyBorder="0" applyAlignment="0" applyProtection="0"/>
    <xf numFmtId="0" fontId="21" fillId="0" borderId="11" applyNumberFormat="0" applyFill="0" applyAlignment="0" applyProtection="0"/>
    <xf numFmtId="0" fontId="22" fillId="0" borderId="12" applyNumberFormat="0" applyFill="0" applyAlignment="0" applyProtection="0"/>
    <xf numFmtId="0" fontId="23" fillId="0" borderId="13" applyNumberFormat="0" applyFill="0" applyAlignment="0" applyProtection="0"/>
    <xf numFmtId="0" fontId="23" fillId="0" borderId="0" applyNumberFormat="0" applyFill="0" applyBorder="0" applyAlignment="0" applyProtection="0"/>
    <xf numFmtId="0" fontId="24" fillId="7" borderId="9" applyNumberFormat="0" applyAlignment="0" applyProtection="0"/>
    <xf numFmtId="0" fontId="25" fillId="0" borderId="14" applyNumberFormat="0" applyFill="0" applyAlignment="0" applyProtection="0"/>
    <xf numFmtId="0" fontId="26" fillId="22" borderId="0" applyNumberFormat="0" applyBorder="0" applyAlignment="0" applyProtection="0"/>
    <xf numFmtId="0" fontId="11" fillId="0" borderId="0"/>
    <xf numFmtId="0" fontId="11" fillId="23" borderId="15" applyNumberFormat="0" applyFont="0" applyAlignment="0" applyProtection="0"/>
    <xf numFmtId="0" fontId="27" fillId="20" borderId="16" applyNumberFormat="0" applyAlignment="0" applyProtection="0"/>
    <xf numFmtId="9" fontId="11" fillId="0" borderId="0" applyFont="0" applyFill="0" applyBorder="0" applyAlignment="0" applyProtection="0"/>
    <xf numFmtId="9" fontId="11" fillId="0" borderId="0" applyFont="0" applyFill="0" applyBorder="0" applyAlignment="0" applyProtection="0"/>
    <xf numFmtId="0" fontId="28" fillId="0" borderId="0" applyNumberFormat="0" applyFill="0" applyBorder="0" applyAlignment="0" applyProtection="0"/>
    <xf numFmtId="0" fontId="29" fillId="0" borderId="17" applyNumberFormat="0" applyFill="0" applyAlignment="0" applyProtection="0"/>
    <xf numFmtId="0" fontId="30" fillId="0" borderId="0" applyNumberFormat="0" applyFill="0" applyBorder="0" applyAlignment="0" applyProtection="0"/>
    <xf numFmtId="166"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44" fontId="11" fillId="0" borderId="0" applyFont="0" applyFill="0" applyBorder="0" applyAlignment="0" applyProtection="0"/>
    <xf numFmtId="43" fontId="11" fillId="0" borderId="0" applyFont="0" applyFill="0" applyBorder="0" applyAlignment="0" applyProtection="0"/>
    <xf numFmtId="0" fontId="37" fillId="0" borderId="0"/>
    <xf numFmtId="9" fontId="37" fillId="0" borderId="0" applyFont="0" applyFill="0" applyBorder="0" applyAlignment="0" applyProtection="0"/>
    <xf numFmtId="10" fontId="38" fillId="28" borderId="0" applyFont="0" applyFill="0" applyBorder="0" applyAlignment="0" applyProtection="0"/>
    <xf numFmtId="166" fontId="37" fillId="0" borderId="0" applyFont="0" applyFill="0" applyBorder="0" applyAlignment="0" applyProtection="0"/>
    <xf numFmtId="165" fontId="37" fillId="0" borderId="0" applyFont="0" applyFill="0" applyBorder="0" applyAlignment="0" applyProtection="0"/>
    <xf numFmtId="0" fontId="39" fillId="0" borderId="0"/>
    <xf numFmtId="166" fontId="39" fillId="0" borderId="0" applyFont="0" applyFill="0" applyBorder="0" applyAlignment="0" applyProtection="0"/>
    <xf numFmtId="165" fontId="39" fillId="0" borderId="0" applyFont="0" applyFill="0" applyBorder="0" applyAlignment="0" applyProtection="0"/>
    <xf numFmtId="9" fontId="39" fillId="0" borderId="0" applyFont="0" applyFill="0" applyBorder="0" applyAlignment="0" applyProtection="0"/>
    <xf numFmtId="165" fontId="9" fillId="0" borderId="0" applyFont="0" applyFill="0" applyBorder="0" applyAlignment="0" applyProtection="0"/>
    <xf numFmtId="166"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6"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0" fontId="11" fillId="0" borderId="0"/>
    <xf numFmtId="9" fontId="11" fillId="0" borderId="0" applyFont="0" applyFill="0" applyBorder="0" applyAlignment="0" applyProtection="0"/>
    <xf numFmtId="166" fontId="11" fillId="0" borderId="0" applyFont="0" applyFill="0" applyBorder="0" applyAlignment="0" applyProtection="0"/>
    <xf numFmtId="165" fontId="11" fillId="0" borderId="0" applyFont="0" applyFill="0" applyBorder="0" applyAlignment="0" applyProtection="0"/>
    <xf numFmtId="166" fontId="39" fillId="0" borderId="0" applyFont="0" applyFill="0" applyBorder="0" applyAlignment="0" applyProtection="0"/>
    <xf numFmtId="165" fontId="39" fillId="0" borderId="0" applyFont="0" applyFill="0" applyBorder="0" applyAlignment="0" applyProtection="0"/>
    <xf numFmtId="9" fontId="9" fillId="0" borderId="0" applyFont="0" applyFill="0" applyBorder="0" applyAlignment="0" applyProtection="0"/>
    <xf numFmtId="0" fontId="40" fillId="0" borderId="0"/>
    <xf numFmtId="9" fontId="40" fillId="0" borderId="0" applyFont="0" applyFill="0" applyBorder="0" applyAlignment="0" applyProtection="0"/>
    <xf numFmtId="166" fontId="9" fillId="0" borderId="0" applyFont="0" applyFill="0" applyBorder="0" applyAlignment="0" applyProtection="0"/>
    <xf numFmtId="165" fontId="9" fillId="0" borderId="0" applyFont="0" applyFill="0" applyBorder="0" applyAlignment="0" applyProtection="0"/>
    <xf numFmtId="0" fontId="41" fillId="0" borderId="0" applyNumberFormat="0" applyFill="0" applyBorder="0" applyAlignment="0" applyProtection="0">
      <alignment vertical="top"/>
      <protection locked="0"/>
    </xf>
    <xf numFmtId="0" fontId="9" fillId="0" borderId="0"/>
    <xf numFmtId="166" fontId="9" fillId="0" borderId="0" applyFont="0" applyFill="0" applyBorder="0" applyAlignment="0" applyProtection="0"/>
    <xf numFmtId="9" fontId="9" fillId="0" borderId="0" applyFont="0" applyFill="0" applyBorder="0" applyAlignment="0" applyProtection="0"/>
    <xf numFmtId="165" fontId="9" fillId="0" borderId="0" applyFont="0" applyFill="0" applyBorder="0" applyAlignment="0" applyProtection="0"/>
    <xf numFmtId="0" fontId="11" fillId="0" borderId="0"/>
    <xf numFmtId="166" fontId="9" fillId="0" borderId="0" applyFont="0" applyFill="0" applyBorder="0" applyAlignment="0" applyProtection="0"/>
    <xf numFmtId="165" fontId="9" fillId="0" borderId="0" applyFont="0" applyFill="0" applyBorder="0" applyAlignment="0" applyProtection="0"/>
    <xf numFmtId="0" fontId="11" fillId="0" borderId="0"/>
    <xf numFmtId="166" fontId="11" fillId="0" borderId="0" applyFont="0" applyFill="0" applyBorder="0" applyAlignment="0" applyProtection="0"/>
    <xf numFmtId="0" fontId="9" fillId="0" borderId="0"/>
    <xf numFmtId="165" fontId="9" fillId="0" borderId="0" applyFont="0" applyFill="0" applyBorder="0" applyAlignment="0" applyProtection="0"/>
    <xf numFmtId="0" fontId="18" fillId="21" borderId="39" applyNumberFormat="0" applyAlignment="0" applyProtection="0"/>
    <xf numFmtId="166"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6"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6" fontId="11" fillId="0" borderId="0" applyFont="0" applyFill="0" applyBorder="0" applyAlignment="0" applyProtection="0"/>
    <xf numFmtId="165" fontId="11" fillId="0" borderId="0" applyFont="0" applyFill="0" applyBorder="0" applyAlignment="0" applyProtection="0"/>
    <xf numFmtId="0" fontId="11" fillId="0" borderId="0"/>
    <xf numFmtId="166" fontId="11" fillId="0" borderId="0" applyFont="0" applyFill="0" applyBorder="0" applyAlignment="0" applyProtection="0"/>
    <xf numFmtId="165" fontId="11" fillId="0" borderId="0" applyFont="0" applyFill="0" applyBorder="0" applyAlignment="0" applyProtection="0"/>
    <xf numFmtId="9" fontId="11" fillId="0" borderId="0" applyFont="0" applyFill="0" applyBorder="0" applyAlignment="0" applyProtection="0"/>
    <xf numFmtId="165" fontId="9" fillId="0" borderId="0" applyFont="0" applyFill="0" applyBorder="0" applyAlignment="0" applyProtection="0"/>
    <xf numFmtId="166"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6"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6" fontId="11" fillId="0" borderId="0" applyFont="0" applyFill="0" applyBorder="0" applyAlignment="0" applyProtection="0"/>
    <xf numFmtId="165" fontId="11" fillId="0" borderId="0" applyFont="0" applyFill="0" applyBorder="0" applyAlignment="0" applyProtection="0"/>
    <xf numFmtId="166" fontId="11" fillId="0" borderId="0" applyFont="0" applyFill="0" applyBorder="0" applyAlignment="0" applyProtection="0"/>
    <xf numFmtId="165" fontId="11" fillId="0" borderId="0" applyFont="0" applyFill="0" applyBorder="0" applyAlignment="0" applyProtection="0"/>
    <xf numFmtId="166" fontId="9" fillId="0" borderId="0" applyFont="0" applyFill="0" applyBorder="0" applyAlignment="0" applyProtection="0"/>
    <xf numFmtId="165" fontId="9" fillId="0" borderId="0" applyFont="0" applyFill="0" applyBorder="0" applyAlignment="0" applyProtection="0"/>
    <xf numFmtId="166" fontId="9" fillId="0" borderId="0" applyFont="0" applyFill="0" applyBorder="0" applyAlignment="0" applyProtection="0"/>
    <xf numFmtId="165" fontId="9" fillId="0" borderId="0" applyFont="0" applyFill="0" applyBorder="0" applyAlignment="0" applyProtection="0"/>
    <xf numFmtId="166" fontId="9" fillId="0" borderId="0" applyFont="0" applyFill="0" applyBorder="0" applyAlignment="0" applyProtection="0"/>
    <xf numFmtId="165" fontId="9" fillId="0" borderId="0" applyFont="0" applyFill="0" applyBorder="0" applyAlignment="0" applyProtection="0"/>
    <xf numFmtId="166" fontId="11" fillId="0" borderId="0" applyFont="0" applyFill="0" applyBorder="0" applyAlignment="0" applyProtection="0"/>
    <xf numFmtId="0" fontId="7" fillId="0" borderId="0"/>
    <xf numFmtId="0" fontId="6" fillId="0" borderId="0"/>
    <xf numFmtId="0" fontId="6" fillId="0" borderId="0"/>
    <xf numFmtId="0" fontId="5" fillId="0" borderId="0"/>
    <xf numFmtId="0" fontId="4" fillId="0" borderId="0"/>
    <xf numFmtId="0" fontId="45" fillId="0" borderId="0"/>
    <xf numFmtId="44" fontId="46" fillId="0" borderId="0" applyFont="0" applyFill="0" applyBorder="0" applyAlignment="0" applyProtection="0"/>
    <xf numFmtId="0" fontId="47" fillId="36" borderId="0" applyNumberFormat="0" applyBorder="0" applyAlignment="0" applyProtection="0"/>
    <xf numFmtId="0" fontId="48" fillId="34" borderId="59" applyNumberFormat="0" applyAlignment="0" applyProtection="0"/>
    <xf numFmtId="0" fontId="49" fillId="35" borderId="59" applyNumberFormat="0" applyAlignment="0" applyProtection="0"/>
    <xf numFmtId="0" fontId="46" fillId="0" borderId="0"/>
    <xf numFmtId="43" fontId="11" fillId="0" borderId="0" applyFont="0" applyFill="0" applyBorder="0" applyAlignment="0" applyProtection="0"/>
    <xf numFmtId="165" fontId="9" fillId="0" borderId="0" applyFont="0" applyFill="0" applyBorder="0" applyAlignment="0" applyProtection="0"/>
    <xf numFmtId="166"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6"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6" fontId="11" fillId="0" borderId="0" applyFont="0" applyFill="0" applyBorder="0" applyAlignment="0" applyProtection="0"/>
    <xf numFmtId="165" fontId="11" fillId="0" borderId="0" applyFont="0" applyFill="0" applyBorder="0" applyAlignment="0" applyProtection="0"/>
    <xf numFmtId="166" fontId="11" fillId="0" borderId="0" applyFont="0" applyFill="0" applyBorder="0" applyAlignment="0" applyProtection="0"/>
    <xf numFmtId="165" fontId="11" fillId="0" borderId="0" applyFont="0" applyFill="0" applyBorder="0" applyAlignment="0" applyProtection="0"/>
    <xf numFmtId="165" fontId="9" fillId="0" borderId="0" applyFont="0" applyFill="0" applyBorder="0" applyAlignment="0" applyProtection="0"/>
    <xf numFmtId="166"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6"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6" fontId="11" fillId="0" borderId="0" applyFont="0" applyFill="0" applyBorder="0" applyAlignment="0" applyProtection="0"/>
    <xf numFmtId="165" fontId="11" fillId="0" borderId="0" applyFont="0" applyFill="0" applyBorder="0" applyAlignment="0" applyProtection="0"/>
    <xf numFmtId="166" fontId="11" fillId="0" borderId="0" applyFont="0" applyFill="0" applyBorder="0" applyAlignment="0" applyProtection="0"/>
    <xf numFmtId="165" fontId="11" fillId="0" borderId="0" applyFont="0" applyFill="0" applyBorder="0" applyAlignment="0" applyProtection="0"/>
    <xf numFmtId="166" fontId="9" fillId="0" borderId="0" applyFont="0" applyFill="0" applyBorder="0" applyAlignment="0" applyProtection="0"/>
    <xf numFmtId="165" fontId="9" fillId="0" borderId="0" applyFont="0" applyFill="0" applyBorder="0" applyAlignment="0" applyProtection="0"/>
    <xf numFmtId="166" fontId="9" fillId="0" borderId="0" applyFont="0" applyFill="0" applyBorder="0" applyAlignment="0" applyProtection="0"/>
    <xf numFmtId="165" fontId="9" fillId="0" borderId="0" applyFont="0" applyFill="0" applyBorder="0" applyAlignment="0" applyProtection="0"/>
    <xf numFmtId="166" fontId="9" fillId="0" borderId="0" applyFont="0" applyFill="0" applyBorder="0" applyAlignment="0" applyProtection="0"/>
    <xf numFmtId="165" fontId="9" fillId="0" borderId="0" applyFont="0" applyFill="0" applyBorder="0" applyAlignment="0" applyProtection="0"/>
    <xf numFmtId="166" fontId="11" fillId="0" borderId="0" applyFont="0" applyFill="0" applyBorder="0" applyAlignment="0" applyProtection="0"/>
    <xf numFmtId="165" fontId="9" fillId="0" borderId="0" applyFont="0" applyFill="0" applyBorder="0" applyAlignment="0" applyProtection="0"/>
    <xf numFmtId="166"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6"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6" fontId="11" fillId="0" borderId="0" applyFont="0" applyFill="0" applyBorder="0" applyAlignment="0" applyProtection="0"/>
    <xf numFmtId="165" fontId="11" fillId="0" borderId="0" applyFont="0" applyFill="0" applyBorder="0" applyAlignment="0" applyProtection="0"/>
    <xf numFmtId="166" fontId="11" fillId="0" borderId="0" applyFont="0" applyFill="0" applyBorder="0" applyAlignment="0" applyProtection="0"/>
    <xf numFmtId="165" fontId="11" fillId="0" borderId="0" applyFont="0" applyFill="0" applyBorder="0" applyAlignment="0" applyProtection="0"/>
    <xf numFmtId="165" fontId="9" fillId="0" borderId="0" applyFont="0" applyFill="0" applyBorder="0" applyAlignment="0" applyProtection="0"/>
    <xf numFmtId="166"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6"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6" fontId="11" fillId="0" borderId="0" applyFont="0" applyFill="0" applyBorder="0" applyAlignment="0" applyProtection="0"/>
    <xf numFmtId="165" fontId="11" fillId="0" borderId="0" applyFont="0" applyFill="0" applyBorder="0" applyAlignment="0" applyProtection="0"/>
    <xf numFmtId="166" fontId="11" fillId="0" borderId="0" applyFont="0" applyFill="0" applyBorder="0" applyAlignment="0" applyProtection="0"/>
    <xf numFmtId="165" fontId="11" fillId="0" borderId="0" applyFont="0" applyFill="0" applyBorder="0" applyAlignment="0" applyProtection="0"/>
    <xf numFmtId="166" fontId="9" fillId="0" borderId="0" applyFont="0" applyFill="0" applyBorder="0" applyAlignment="0" applyProtection="0"/>
    <xf numFmtId="165" fontId="9" fillId="0" borderId="0" applyFont="0" applyFill="0" applyBorder="0" applyAlignment="0" applyProtection="0"/>
    <xf numFmtId="166" fontId="9" fillId="0" borderId="0" applyFont="0" applyFill="0" applyBorder="0" applyAlignment="0" applyProtection="0"/>
    <xf numFmtId="165" fontId="9" fillId="0" borderId="0" applyFont="0" applyFill="0" applyBorder="0" applyAlignment="0" applyProtection="0"/>
    <xf numFmtId="166" fontId="9" fillId="0" borderId="0" applyFont="0" applyFill="0" applyBorder="0" applyAlignment="0" applyProtection="0"/>
    <xf numFmtId="165" fontId="9" fillId="0" borderId="0" applyFont="0" applyFill="0" applyBorder="0" applyAlignment="0" applyProtection="0"/>
    <xf numFmtId="166" fontId="11"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165" fontId="46" fillId="0" borderId="0" applyFont="0" applyFill="0" applyBorder="0" applyAlignment="0" applyProtection="0"/>
    <xf numFmtId="166" fontId="11" fillId="0" borderId="0" applyFont="0" applyFill="0" applyBorder="0" applyAlignment="0" applyProtection="0"/>
    <xf numFmtId="44" fontId="9" fillId="0" borderId="0" applyFont="0" applyFill="0" applyBorder="0" applyAlignment="0" applyProtection="0"/>
    <xf numFmtId="165" fontId="9" fillId="0" borderId="0" applyFont="0" applyFill="0" applyBorder="0" applyAlignment="0" applyProtection="0"/>
    <xf numFmtId="0" fontId="2" fillId="0" borderId="0"/>
    <xf numFmtId="9" fontId="2" fillId="0" borderId="0" applyFont="0" applyFill="0" applyBorder="0" applyAlignment="0" applyProtection="0"/>
    <xf numFmtId="165" fontId="2" fillId="0" borderId="0" applyFont="0" applyFill="0" applyBorder="0" applyAlignment="0" applyProtection="0"/>
    <xf numFmtId="0" fontId="58" fillId="0" borderId="0" applyNumberFormat="0" applyFill="0" applyBorder="0" applyAlignment="0" applyProtection="0"/>
    <xf numFmtId="0" fontId="11" fillId="0" borderId="0"/>
    <xf numFmtId="9" fontId="11" fillId="0" borderId="0" applyFont="0" applyFill="0" applyBorder="0" applyAlignment="0" applyProtection="0"/>
    <xf numFmtId="43" fontId="9" fillId="0" borderId="0" applyFont="0" applyFill="0" applyBorder="0" applyAlignment="0" applyProtection="0"/>
    <xf numFmtId="0" fontId="1" fillId="0" borderId="0"/>
    <xf numFmtId="165" fontId="1" fillId="0" borderId="0" applyFont="0" applyFill="0" applyBorder="0" applyAlignment="0" applyProtection="0"/>
    <xf numFmtId="9" fontId="1"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53" fillId="0" borderId="0"/>
    <xf numFmtId="43" fontId="53" fillId="0" borderId="0" applyFont="0" applyFill="0" applyBorder="0" applyAlignment="0" applyProtection="0"/>
    <xf numFmtId="0" fontId="11" fillId="0" borderId="0"/>
    <xf numFmtId="0" fontId="38" fillId="47" borderId="0">
      <alignment horizontal="left" indent="6"/>
    </xf>
    <xf numFmtId="166" fontId="11" fillId="0" borderId="0" applyFont="0" applyFill="0" applyBorder="0" applyAlignment="0" applyProtection="0"/>
    <xf numFmtId="9" fontId="11" fillId="0" borderId="0" applyFont="0" applyFill="0" applyBorder="0" applyAlignment="0" applyProtection="0"/>
    <xf numFmtId="0" fontId="11" fillId="0" borderId="0"/>
    <xf numFmtId="166" fontId="9" fillId="0" borderId="0" applyFont="0" applyFill="0" applyBorder="0" applyAlignment="0" applyProtection="0"/>
  </cellStyleXfs>
  <cellXfs count="828">
    <xf numFmtId="0" fontId="0" fillId="0" borderId="0" xfId="0"/>
    <xf numFmtId="0" fontId="0" fillId="0" borderId="0" xfId="0" applyAlignment="1">
      <alignment horizontal="right"/>
    </xf>
    <xf numFmtId="0" fontId="10" fillId="0" borderId="0" xfId="0" applyFont="1"/>
    <xf numFmtId="0" fontId="0" fillId="0" borderId="0" xfId="0" applyAlignment="1">
      <alignment horizontal="center"/>
    </xf>
    <xf numFmtId="165" fontId="0" fillId="0" borderId="0" xfId="0" applyNumberFormat="1"/>
    <xf numFmtId="0" fontId="13" fillId="25" borderId="7" xfId="0" quotePrefix="1" applyFont="1" applyFill="1" applyBorder="1" applyAlignment="1">
      <alignment horizontal="center" vertical="center"/>
    </xf>
    <xf numFmtId="0" fontId="31" fillId="25" borderId="19" xfId="0" applyFont="1" applyFill="1" applyBorder="1"/>
    <xf numFmtId="167" fontId="34" fillId="25" borderId="19" xfId="1" applyNumberFormat="1" applyFont="1" applyFill="1" applyBorder="1"/>
    <xf numFmtId="0" fontId="12" fillId="25" borderId="26" xfId="0" applyFont="1" applyFill="1" applyBorder="1" applyAlignment="1" applyProtection="1">
      <alignment horizontal="center" vertical="center" wrapText="1"/>
      <protection locked="0"/>
    </xf>
    <xf numFmtId="0" fontId="12" fillId="25" borderId="27" xfId="0" applyFont="1" applyFill="1" applyBorder="1" applyAlignment="1" applyProtection="1">
      <alignment horizontal="center" vertical="center" wrapText="1"/>
      <protection locked="0"/>
    </xf>
    <xf numFmtId="165" fontId="0" fillId="0" borderId="0" xfId="0" applyNumberFormat="1" applyAlignment="1">
      <alignment horizontal="right"/>
    </xf>
    <xf numFmtId="0" fontId="12" fillId="25" borderId="27" xfId="0" applyFont="1" applyFill="1" applyBorder="1" applyAlignment="1" applyProtection="1">
      <alignment horizontal="right" vertical="center" wrapText="1"/>
      <protection locked="0"/>
    </xf>
    <xf numFmtId="167" fontId="34" fillId="25" borderId="19" xfId="1" applyNumberFormat="1" applyFont="1" applyFill="1" applyBorder="1" applyAlignment="1">
      <alignment horizontal="right"/>
    </xf>
    <xf numFmtId="0" fontId="9" fillId="0" borderId="0" xfId="87"/>
    <xf numFmtId="0" fontId="32" fillId="0" borderId="0" xfId="0" applyFont="1"/>
    <xf numFmtId="44" fontId="8" fillId="0" borderId="18" xfId="56" applyNumberFormat="1" applyFont="1" applyBorder="1"/>
    <xf numFmtId="0" fontId="0" fillId="0" borderId="0" xfId="87" applyFont="1"/>
    <xf numFmtId="0" fontId="10" fillId="0" borderId="0" xfId="0" applyFont="1" applyAlignment="1">
      <alignment horizontal="center"/>
    </xf>
    <xf numFmtId="0" fontId="35" fillId="26" borderId="3" xfId="0" applyFont="1" applyFill="1" applyBorder="1" applyAlignment="1">
      <alignment horizontal="center"/>
    </xf>
    <xf numFmtId="0" fontId="35" fillId="26" borderId="29" xfId="0" applyFont="1" applyFill="1" applyBorder="1" applyAlignment="1">
      <alignment horizontal="center"/>
    </xf>
    <xf numFmtId="0" fontId="35" fillId="26" borderId="1" xfId="0" applyFont="1" applyFill="1" applyBorder="1" applyAlignment="1">
      <alignment horizontal="center"/>
    </xf>
    <xf numFmtId="0" fontId="35" fillId="26" borderId="2" xfId="0" applyFont="1" applyFill="1" applyBorder="1" applyAlignment="1">
      <alignment horizontal="center"/>
    </xf>
    <xf numFmtId="0" fontId="35" fillId="26" borderId="4" xfId="0" applyFont="1" applyFill="1" applyBorder="1" applyAlignment="1">
      <alignment horizontal="center"/>
    </xf>
    <xf numFmtId="0" fontId="35" fillId="26" borderId="5" xfId="0" applyFont="1" applyFill="1" applyBorder="1" applyAlignment="1">
      <alignment horizontal="center"/>
    </xf>
    <xf numFmtId="42" fontId="35" fillId="26" borderId="5" xfId="55" applyNumberFormat="1" applyFont="1" applyFill="1" applyBorder="1" applyAlignment="1">
      <alignment horizontal="center"/>
    </xf>
    <xf numFmtId="0" fontId="35" fillId="26" borderId="42" xfId="0" applyFont="1" applyFill="1" applyBorder="1" applyAlignment="1">
      <alignment horizontal="center"/>
    </xf>
    <xf numFmtId="0" fontId="35" fillId="26" borderId="43" xfId="0" applyFont="1" applyFill="1" applyBorder="1" applyAlignment="1">
      <alignment horizontal="center"/>
    </xf>
    <xf numFmtId="0" fontId="35" fillId="26" borderId="28" xfId="0" applyFont="1" applyFill="1" applyBorder="1" applyAlignment="1">
      <alignment horizontal="center"/>
    </xf>
    <xf numFmtId="165" fontId="0" fillId="26" borderId="6" xfId="0" applyNumberFormat="1" applyFill="1" applyBorder="1" applyAlignment="1">
      <alignment horizontal="center" vertical="center"/>
    </xf>
    <xf numFmtId="165" fontId="11" fillId="0" borderId="0" xfId="1" applyFont="1" applyFill="1" applyBorder="1" applyAlignment="1" applyProtection="1">
      <alignment vertical="center" wrapText="1"/>
    </xf>
    <xf numFmtId="165" fontId="11" fillId="0" borderId="0" xfId="1" applyFont="1" applyFill="1" applyBorder="1" applyAlignment="1" applyProtection="1">
      <alignment horizontal="center" vertical="center" wrapText="1"/>
    </xf>
    <xf numFmtId="165" fontId="12" fillId="0" borderId="0" xfId="1" applyFont="1" applyFill="1" applyBorder="1" applyAlignment="1" applyProtection="1">
      <alignment vertical="center" wrapText="1"/>
    </xf>
    <xf numFmtId="0" fontId="0" fillId="0" borderId="0" xfId="0" applyAlignment="1">
      <alignment horizontal="center" vertical="center"/>
    </xf>
    <xf numFmtId="165" fontId="0" fillId="26" borderId="36" xfId="0" applyNumberFormat="1" applyFill="1" applyBorder="1" applyAlignment="1">
      <alignment horizontal="center" vertical="center"/>
    </xf>
    <xf numFmtId="0" fontId="12" fillId="25" borderId="44" xfId="0" applyFont="1" applyFill="1" applyBorder="1" applyAlignment="1" applyProtection="1">
      <alignment horizontal="center" vertical="center" wrapText="1"/>
      <protection locked="0"/>
    </xf>
    <xf numFmtId="0" fontId="0" fillId="25" borderId="28" xfId="0" applyFill="1" applyBorder="1"/>
    <xf numFmtId="0" fontId="0" fillId="25" borderId="0" xfId="0" applyFill="1" applyAlignment="1">
      <alignment horizontal="center" vertical="center"/>
    </xf>
    <xf numFmtId="0" fontId="0" fillId="25" borderId="22" xfId="0" applyFill="1" applyBorder="1"/>
    <xf numFmtId="0" fontId="32" fillId="25" borderId="22" xfId="0" applyFont="1" applyFill="1" applyBorder="1" applyAlignment="1">
      <alignment horizontal="right"/>
    </xf>
    <xf numFmtId="0" fontId="0" fillId="25" borderId="33" xfId="0" applyFill="1" applyBorder="1"/>
    <xf numFmtId="170" fontId="0" fillId="25" borderId="0" xfId="1" applyNumberFormat="1" applyFont="1" applyFill="1" applyBorder="1" applyAlignment="1">
      <alignment vertical="center"/>
    </xf>
    <xf numFmtId="170" fontId="0" fillId="25" borderId="22" xfId="0" applyNumberFormat="1" applyFill="1" applyBorder="1" applyAlignment="1">
      <alignment vertical="center"/>
    </xf>
    <xf numFmtId="167" fontId="43" fillId="0" borderId="0" xfId="1" applyNumberFormat="1" applyFont="1" applyFill="1" applyBorder="1"/>
    <xf numFmtId="165" fontId="12" fillId="26" borderId="2" xfId="0" applyNumberFormat="1" applyFont="1" applyFill="1" applyBorder="1" applyAlignment="1">
      <alignment horizontal="center" vertical="center" wrapText="1"/>
    </xf>
    <xf numFmtId="165" fontId="12" fillId="26" borderId="5" xfId="0" applyNumberFormat="1" applyFont="1" applyFill="1" applyBorder="1" applyAlignment="1">
      <alignment horizontal="center" vertical="center" wrapText="1"/>
    </xf>
    <xf numFmtId="171" fontId="8" fillId="0" borderId="18" xfId="56" applyNumberFormat="1" applyFont="1" applyBorder="1"/>
    <xf numFmtId="171" fontId="31" fillId="0" borderId="18" xfId="0" applyNumberFormat="1" applyFont="1" applyBorder="1"/>
    <xf numFmtId="171" fontId="0" fillId="0" borderId="0" xfId="0" applyNumberFormat="1"/>
    <xf numFmtId="0" fontId="0" fillId="30" borderId="0" xfId="0" applyFill="1"/>
    <xf numFmtId="0" fontId="13" fillId="25" borderId="41" xfId="0" quotePrefix="1" applyFont="1" applyFill="1" applyBorder="1" applyAlignment="1">
      <alignment horizontal="center" vertical="center"/>
    </xf>
    <xf numFmtId="0" fontId="13" fillId="25" borderId="41" xfId="0" quotePrefix="1" applyFont="1" applyFill="1" applyBorder="1" applyAlignment="1">
      <alignment horizontal="right"/>
    </xf>
    <xf numFmtId="0" fontId="0" fillId="25" borderId="41" xfId="0" applyFill="1" applyBorder="1"/>
    <xf numFmtId="0" fontId="8" fillId="26" borderId="29" xfId="0" applyFont="1" applyFill="1" applyBorder="1" applyAlignment="1">
      <alignment horizontal="center"/>
    </xf>
    <xf numFmtId="0" fontId="35" fillId="26" borderId="5" xfId="0" applyFont="1" applyFill="1" applyBorder="1" applyAlignment="1">
      <alignment horizontal="center" vertical="top" wrapText="1"/>
    </xf>
    <xf numFmtId="10" fontId="10" fillId="0" borderId="0" xfId="0" applyNumberFormat="1" applyFont="1" applyAlignment="1">
      <alignment horizontal="center"/>
    </xf>
    <xf numFmtId="0" fontId="32" fillId="30" borderId="18" xfId="0" applyFont="1" applyFill="1" applyBorder="1"/>
    <xf numFmtId="0" fontId="43" fillId="0" borderId="0" xfId="0" applyFont="1"/>
    <xf numFmtId="0" fontId="33" fillId="0" borderId="0" xfId="87" applyFont="1"/>
    <xf numFmtId="0" fontId="33" fillId="0" borderId="18" xfId="87" applyFont="1" applyBorder="1" applyAlignment="1">
      <alignment horizontal="center" vertical="center" wrapText="1"/>
    </xf>
    <xf numFmtId="2" fontId="33" fillId="0" borderId="18" xfId="87" applyNumberFormat="1" applyFont="1" applyBorder="1" applyAlignment="1">
      <alignment horizontal="center" vertical="center"/>
    </xf>
    <xf numFmtId="0" fontId="33" fillId="0" borderId="0" xfId="87" applyFont="1" applyAlignment="1">
      <alignment horizontal="center"/>
    </xf>
    <xf numFmtId="167" fontId="8" fillId="0" borderId="21" xfId="1" applyNumberFormat="1" applyFont="1" applyFill="1" applyBorder="1" applyAlignment="1">
      <alignment horizontal="center" vertical="center" wrapText="1"/>
    </xf>
    <xf numFmtId="0" fontId="54" fillId="0" borderId="0" xfId="0" applyFont="1"/>
    <xf numFmtId="169" fontId="9" fillId="0" borderId="0" xfId="87" applyNumberFormat="1"/>
    <xf numFmtId="0" fontId="56" fillId="0" borderId="0" xfId="220" applyFont="1"/>
    <xf numFmtId="0" fontId="57" fillId="0" borderId="0" xfId="220" applyFont="1"/>
    <xf numFmtId="0" fontId="57" fillId="0" borderId="0" xfId="220" applyFont="1" applyAlignment="1">
      <alignment horizontal="center"/>
    </xf>
    <xf numFmtId="0" fontId="57" fillId="0" borderId="0" xfId="220" quotePrefix="1" applyFont="1"/>
    <xf numFmtId="0" fontId="57" fillId="0" borderId="0" xfId="220" applyFont="1" applyAlignment="1">
      <alignment horizontal="center" vertical="center"/>
    </xf>
    <xf numFmtId="0" fontId="57" fillId="0" borderId="0" xfId="220" applyFont="1" applyAlignment="1">
      <alignment horizontal="left" vertical="center"/>
    </xf>
    <xf numFmtId="165" fontId="57" fillId="0" borderId="0" xfId="1" applyFont="1"/>
    <xf numFmtId="0" fontId="57" fillId="0" borderId="66" xfId="220" applyFont="1" applyBorder="1" applyAlignment="1">
      <alignment horizontal="center" vertical="center"/>
    </xf>
    <xf numFmtId="0" fontId="57" fillId="0" borderId="66" xfId="220" applyFont="1" applyBorder="1" applyAlignment="1">
      <alignment horizontal="left" vertical="center"/>
    </xf>
    <xf numFmtId="0" fontId="56" fillId="0" borderId="0" xfId="220" applyFont="1" applyAlignment="1">
      <alignment horizontal="center" vertical="center"/>
    </xf>
    <xf numFmtId="0" fontId="56" fillId="0" borderId="0" xfId="220" applyFont="1" applyAlignment="1">
      <alignment horizontal="left" vertical="center"/>
    </xf>
    <xf numFmtId="0" fontId="56" fillId="0" borderId="0" xfId="220" applyFont="1" applyAlignment="1">
      <alignment horizontal="center" vertical="center" wrapText="1"/>
    </xf>
    <xf numFmtId="0" fontId="35" fillId="26" borderId="4" xfId="0" applyFont="1" applyFill="1" applyBorder="1" applyAlignment="1">
      <alignment horizontal="center" wrapText="1"/>
    </xf>
    <xf numFmtId="0" fontId="59" fillId="0" borderId="0" xfId="220" applyFont="1"/>
    <xf numFmtId="167" fontId="57" fillId="0" borderId="0" xfId="1" applyNumberFormat="1" applyFont="1"/>
    <xf numFmtId="170" fontId="57" fillId="0" borderId="0" xfId="1" applyNumberFormat="1" applyFont="1" applyFill="1" applyAlignment="1">
      <alignment horizontal="center" vertical="center"/>
    </xf>
    <xf numFmtId="170" fontId="57" fillId="0" borderId="0" xfId="220" applyNumberFormat="1" applyFont="1" applyAlignment="1">
      <alignment horizontal="center"/>
    </xf>
    <xf numFmtId="170" fontId="57" fillId="0" borderId="0" xfId="222" applyNumberFormat="1" applyFont="1" applyAlignment="1">
      <alignment horizontal="center"/>
    </xf>
    <xf numFmtId="165" fontId="57" fillId="0" borderId="0" xfId="222" applyFont="1" applyAlignment="1">
      <alignment horizontal="center"/>
    </xf>
    <xf numFmtId="0" fontId="10" fillId="33" borderId="40" xfId="0" applyFont="1" applyFill="1" applyBorder="1" applyAlignment="1">
      <alignment horizontal="center"/>
    </xf>
    <xf numFmtId="9" fontId="11" fillId="33" borderId="41" xfId="81" applyFont="1" applyFill="1" applyBorder="1" applyAlignment="1" applyProtection="1">
      <alignment horizontal="center" vertical="center" wrapText="1"/>
    </xf>
    <xf numFmtId="9" fontId="11" fillId="33" borderId="60" xfId="81" applyFont="1" applyFill="1" applyBorder="1" applyAlignment="1" applyProtection="1">
      <alignment horizontal="center" vertical="center" wrapText="1"/>
    </xf>
    <xf numFmtId="0" fontId="12" fillId="25" borderId="25" xfId="0" applyFont="1" applyFill="1" applyBorder="1" applyAlignment="1">
      <alignment vertical="center"/>
    </xf>
    <xf numFmtId="0" fontId="12" fillId="25" borderId="0" xfId="0" applyFont="1" applyFill="1" applyAlignment="1">
      <alignment vertical="center"/>
    </xf>
    <xf numFmtId="0" fontId="12" fillId="25" borderId="0" xfId="0" applyFont="1" applyFill="1" applyAlignment="1">
      <alignment horizontal="center" vertical="center"/>
    </xf>
    <xf numFmtId="10" fontId="36" fillId="26" borderId="5" xfId="225" applyNumberFormat="1" applyFont="1" applyFill="1" applyBorder="1" applyAlignment="1">
      <alignment horizontal="center"/>
    </xf>
    <xf numFmtId="168" fontId="35" fillId="26" borderId="3" xfId="225" applyNumberFormat="1" applyFont="1" applyFill="1" applyBorder="1" applyAlignment="1">
      <alignment horizontal="center"/>
    </xf>
    <xf numFmtId="0" fontId="8" fillId="26" borderId="4" xfId="0" applyFont="1" applyFill="1" applyBorder="1" applyAlignment="1">
      <alignment horizontal="center"/>
    </xf>
    <xf numFmtId="9" fontId="35" fillId="26" borderId="5" xfId="225" applyFont="1" applyFill="1" applyBorder="1" applyAlignment="1">
      <alignment horizontal="center"/>
    </xf>
    <xf numFmtId="10" fontId="62" fillId="38" borderId="3" xfId="225" applyNumberFormat="1" applyFont="1" applyFill="1" applyBorder="1" applyAlignment="1">
      <alignment horizontal="center"/>
    </xf>
    <xf numFmtId="1" fontId="8" fillId="0" borderId="18" xfId="226" applyNumberFormat="1" applyFont="1" applyBorder="1" applyAlignment="1">
      <alignment horizontal="center"/>
    </xf>
    <xf numFmtId="0" fontId="8" fillId="0" borderId="18" xfId="0" applyFont="1" applyBorder="1" applyAlignment="1">
      <alignment horizontal="center"/>
    </xf>
    <xf numFmtId="171" fontId="63" fillId="29" borderId="18" xfId="1" applyNumberFormat="1" applyFont="1" applyFill="1" applyBorder="1"/>
    <xf numFmtId="171" fontId="63" fillId="0" borderId="18" xfId="1" applyNumberFormat="1" applyFont="1" applyFill="1" applyBorder="1"/>
    <xf numFmtId="0" fontId="64" fillId="25" borderId="18" xfId="0" applyFont="1" applyFill="1" applyBorder="1" applyAlignment="1" applyProtection="1">
      <alignment horizontal="center" vertical="center"/>
      <protection locked="0"/>
    </xf>
    <xf numFmtId="0" fontId="64" fillId="25" borderId="20" xfId="0" applyFont="1" applyFill="1" applyBorder="1" applyAlignment="1" applyProtection="1">
      <alignment horizontal="center" vertical="center"/>
      <protection locked="0"/>
    </xf>
    <xf numFmtId="167" fontId="64" fillId="0" borderId="21" xfId="1" applyNumberFormat="1" applyFont="1" applyFill="1" applyBorder="1" applyAlignment="1" applyProtection="1">
      <alignment horizontal="center" vertical="center" wrapText="1"/>
      <protection locked="0"/>
    </xf>
    <xf numFmtId="167" fontId="65" fillId="25" borderId="21" xfId="0" applyNumberFormat="1" applyFont="1" applyFill="1" applyBorder="1" applyAlignment="1" applyProtection="1">
      <alignment vertical="center"/>
      <protection locked="0"/>
    </xf>
    <xf numFmtId="9" fontId="64" fillId="0" borderId="21" xfId="81" applyFont="1" applyFill="1" applyBorder="1" applyAlignment="1" applyProtection="1">
      <alignment horizontal="center" vertical="center" wrapText="1"/>
    </xf>
    <xf numFmtId="167" fontId="65" fillId="25" borderId="18" xfId="0" applyNumberFormat="1" applyFont="1" applyFill="1" applyBorder="1" applyAlignment="1" applyProtection="1">
      <alignment vertical="center"/>
      <protection locked="0"/>
    </xf>
    <xf numFmtId="167" fontId="65" fillId="0" borderId="21" xfId="0" applyNumberFormat="1" applyFont="1" applyBorder="1" applyAlignment="1" applyProtection="1">
      <alignment vertical="center"/>
      <protection locked="0"/>
    </xf>
    <xf numFmtId="167" fontId="65" fillId="0" borderId="18" xfId="0" applyNumberFormat="1" applyFont="1" applyBorder="1" applyAlignment="1" applyProtection="1">
      <alignment vertical="center"/>
      <protection locked="0"/>
    </xf>
    <xf numFmtId="0" fontId="8" fillId="0" borderId="21" xfId="224" applyFont="1" applyBorder="1" applyAlignment="1">
      <alignment horizontal="center" vertical="center" wrapText="1"/>
    </xf>
    <xf numFmtId="165" fontId="64" fillId="25" borderId="18" xfId="1" applyFont="1" applyFill="1" applyBorder="1" applyAlignment="1" applyProtection="1">
      <alignment horizontal="center" vertical="center"/>
      <protection locked="0"/>
    </xf>
    <xf numFmtId="9" fontId="64" fillId="25" borderId="18" xfId="81" applyFont="1" applyFill="1" applyBorder="1" applyAlignment="1" applyProtection="1">
      <alignment horizontal="center" vertical="center"/>
      <protection locked="0"/>
    </xf>
    <xf numFmtId="165" fontId="64" fillId="0" borderId="18" xfId="1" applyFont="1" applyFill="1" applyBorder="1" applyAlignment="1" applyProtection="1">
      <alignment horizontal="center" vertical="center"/>
      <protection locked="0"/>
    </xf>
    <xf numFmtId="9" fontId="64" fillId="0" borderId="18" xfId="81" applyFont="1" applyFill="1" applyBorder="1" applyAlignment="1" applyProtection="1">
      <alignment horizontal="center" vertical="center"/>
      <protection locked="0"/>
    </xf>
    <xf numFmtId="0" fontId="35" fillId="0" borderId="0" xfId="0" applyFont="1" applyAlignment="1">
      <alignment horizontal="center"/>
    </xf>
    <xf numFmtId="0" fontId="35" fillId="0" borderId="0" xfId="0" applyFont="1" applyAlignment="1">
      <alignment horizontal="center" wrapText="1"/>
    </xf>
    <xf numFmtId="0" fontId="8" fillId="0" borderId="0" xfId="0" applyFont="1" applyAlignment="1">
      <alignment horizontal="center"/>
    </xf>
    <xf numFmtId="164" fontId="0" fillId="0" borderId="0" xfId="0" applyNumberFormat="1"/>
    <xf numFmtId="171" fontId="8" fillId="0" borderId="0" xfId="1" applyNumberFormat="1" applyFont="1" applyBorder="1"/>
    <xf numFmtId="171" fontId="8" fillId="0" borderId="0" xfId="56" applyNumberFormat="1" applyFont="1" applyBorder="1"/>
    <xf numFmtId="2" fontId="61" fillId="0" borderId="0" xfId="226" applyNumberFormat="1" applyFont="1" applyBorder="1" applyAlignment="1">
      <alignment horizontal="center"/>
    </xf>
    <xf numFmtId="9" fontId="61" fillId="0" borderId="0" xfId="81" applyFont="1" applyBorder="1" applyAlignment="1">
      <alignment horizontal="center"/>
    </xf>
    <xf numFmtId="171" fontId="8" fillId="0" borderId="0" xfId="56" applyNumberFormat="1" applyFont="1" applyFill="1" applyBorder="1"/>
    <xf numFmtId="171" fontId="31" fillId="0" borderId="0" xfId="0" applyNumberFormat="1" applyFont="1"/>
    <xf numFmtId="171" fontId="8" fillId="0" borderId="0" xfId="0" applyNumberFormat="1" applyFont="1"/>
    <xf numFmtId="170" fontId="0" fillId="25" borderId="22" xfId="0" applyNumberFormat="1" applyFill="1" applyBorder="1"/>
    <xf numFmtId="167" fontId="64" fillId="25" borderId="18" xfId="1" applyNumberFormat="1" applyFont="1" applyFill="1" applyBorder="1" applyAlignment="1" applyProtection="1">
      <alignment horizontal="center" vertical="center"/>
      <protection locked="0"/>
    </xf>
    <xf numFmtId="167" fontId="64" fillId="0" borderId="18" xfId="1" applyNumberFormat="1" applyFont="1" applyFill="1" applyBorder="1" applyAlignment="1" applyProtection="1">
      <alignment horizontal="center" vertical="center"/>
      <protection locked="0"/>
    </xf>
    <xf numFmtId="170" fontId="0" fillId="0" borderId="18" xfId="0" applyNumberFormat="1" applyBorder="1" applyAlignment="1">
      <alignment horizontal="center" vertical="center"/>
    </xf>
    <xf numFmtId="170" fontId="32" fillId="0" borderId="18" xfId="0" applyNumberFormat="1" applyFont="1" applyBorder="1" applyAlignment="1">
      <alignment horizontal="center" vertical="center"/>
    </xf>
    <xf numFmtId="170" fontId="0" fillId="0" borderId="0" xfId="0" applyNumberFormat="1"/>
    <xf numFmtId="172" fontId="57" fillId="0" borderId="0" xfId="220" applyNumberFormat="1" applyFont="1" applyAlignment="1">
      <alignment horizontal="center" vertical="center"/>
    </xf>
    <xf numFmtId="0" fontId="64" fillId="0" borderId="18" xfId="0" applyFont="1" applyBorder="1" applyAlignment="1" applyProtection="1">
      <alignment horizontal="center" vertical="center"/>
      <protection locked="0"/>
    </xf>
    <xf numFmtId="0" fontId="64" fillId="0" borderId="20" xfId="0" applyFont="1" applyBorder="1" applyAlignment="1" applyProtection="1">
      <alignment horizontal="center" vertical="center"/>
      <protection locked="0"/>
    </xf>
    <xf numFmtId="0" fontId="67" fillId="0" borderId="18" xfId="0" applyFont="1" applyBorder="1" applyAlignment="1" applyProtection="1">
      <alignment horizontal="center" vertical="center"/>
      <protection locked="0"/>
    </xf>
    <xf numFmtId="0" fontId="67" fillId="0" borderId="21" xfId="43" applyFont="1" applyBorder="1" applyAlignment="1">
      <alignment horizontal="center" vertical="center" wrapText="1"/>
    </xf>
    <xf numFmtId="0" fontId="67" fillId="0" borderId="20" xfId="0" applyFont="1" applyBorder="1" applyAlignment="1" applyProtection="1">
      <alignment horizontal="center" vertical="center"/>
      <protection locked="0"/>
    </xf>
    <xf numFmtId="165" fontId="67" fillId="0" borderId="21" xfId="1" applyFont="1" applyFill="1" applyBorder="1" applyAlignment="1" applyProtection="1">
      <alignment horizontal="center" vertical="center" wrapText="1"/>
    </xf>
    <xf numFmtId="167" fontId="67" fillId="0" borderId="21" xfId="1" applyNumberFormat="1" applyFont="1" applyFill="1" applyBorder="1" applyAlignment="1" applyProtection="1">
      <alignment horizontal="center" vertical="center" wrapText="1"/>
      <protection locked="0"/>
    </xf>
    <xf numFmtId="167" fontId="68" fillId="0" borderId="21" xfId="0" applyNumberFormat="1" applyFont="1" applyBorder="1" applyAlignment="1" applyProtection="1">
      <alignment vertical="center"/>
      <protection locked="0"/>
    </xf>
    <xf numFmtId="9" fontId="67" fillId="0" borderId="21" xfId="81" applyFont="1" applyFill="1" applyBorder="1" applyAlignment="1" applyProtection="1">
      <alignment horizontal="center" vertical="center" wrapText="1"/>
    </xf>
    <xf numFmtId="9" fontId="67" fillId="0" borderId="18" xfId="81" applyFont="1" applyFill="1" applyBorder="1" applyAlignment="1" applyProtection="1">
      <alignment horizontal="center" vertical="center" wrapText="1"/>
    </xf>
    <xf numFmtId="167" fontId="68" fillId="0" borderId="18" xfId="0" applyNumberFormat="1" applyFont="1" applyBorder="1" applyAlignment="1" applyProtection="1">
      <alignment vertical="center"/>
      <protection locked="0"/>
    </xf>
    <xf numFmtId="165" fontId="57" fillId="0" borderId="0" xfId="220" applyNumberFormat="1" applyFont="1" applyAlignment="1">
      <alignment horizontal="left" vertical="center"/>
    </xf>
    <xf numFmtId="0" fontId="0" fillId="0" borderId="18" xfId="0" applyBorder="1" applyAlignment="1">
      <alignment horizontal="center" vertical="center"/>
    </xf>
    <xf numFmtId="0" fontId="32" fillId="30" borderId="18" xfId="0" applyFont="1" applyFill="1" applyBorder="1" applyAlignment="1">
      <alignment horizontal="center" vertical="center"/>
    </xf>
    <xf numFmtId="170" fontId="32" fillId="30" borderId="18" xfId="0" applyNumberFormat="1" applyFont="1" applyFill="1" applyBorder="1" applyAlignment="1">
      <alignment horizontal="center" vertical="center"/>
    </xf>
    <xf numFmtId="0" fontId="0" fillId="30" borderId="18" xfId="0" applyFill="1" applyBorder="1" applyAlignment="1">
      <alignment horizontal="center" vertical="center"/>
    </xf>
    <xf numFmtId="170" fontId="0" fillId="30" borderId="18" xfId="0" applyNumberFormat="1" applyFill="1" applyBorder="1" applyAlignment="1">
      <alignment horizontal="center" vertical="center"/>
    </xf>
    <xf numFmtId="0" fontId="8" fillId="0" borderId="18" xfId="0" applyFont="1" applyBorder="1" applyAlignment="1" applyProtection="1">
      <alignment horizontal="center" vertical="center"/>
      <protection locked="0"/>
    </xf>
    <xf numFmtId="0" fontId="57" fillId="0" borderId="0" xfId="227" applyFont="1"/>
    <xf numFmtId="170" fontId="57" fillId="0" borderId="0" xfId="228" applyNumberFormat="1" applyFont="1" applyAlignment="1">
      <alignment horizontal="center"/>
    </xf>
    <xf numFmtId="170" fontId="57" fillId="0" borderId="0" xfId="227" applyNumberFormat="1" applyFont="1" applyAlignment="1">
      <alignment horizontal="center"/>
    </xf>
    <xf numFmtId="0" fontId="57" fillId="0" borderId="0" xfId="227" applyFont="1" applyAlignment="1">
      <alignment vertical="center" wrapText="1"/>
    </xf>
    <xf numFmtId="0" fontId="57" fillId="0" borderId="0" xfId="227" applyFont="1" applyAlignment="1">
      <alignment horizontal="center" vertical="center"/>
    </xf>
    <xf numFmtId="0" fontId="57" fillId="0" borderId="7" xfId="227" applyFont="1" applyBorder="1"/>
    <xf numFmtId="170" fontId="57" fillId="0" borderId="0" xfId="227" applyNumberFormat="1" applyFont="1" applyAlignment="1">
      <alignment horizontal="center" vertical="center"/>
    </xf>
    <xf numFmtId="170" fontId="57" fillId="0" borderId="0" xfId="228" applyNumberFormat="1" applyFont="1" applyAlignment="1">
      <alignment horizontal="center" vertical="center"/>
    </xf>
    <xf numFmtId="170" fontId="57" fillId="0" borderId="0" xfId="227" applyNumberFormat="1" applyFont="1" applyAlignment="1">
      <alignment horizontal="right" vertical="center"/>
    </xf>
    <xf numFmtId="170" fontId="56" fillId="0" borderId="0" xfId="228" applyNumberFormat="1" applyFont="1" applyAlignment="1">
      <alignment horizontal="center"/>
    </xf>
    <xf numFmtId="170" fontId="57" fillId="0" borderId="0" xfId="227" applyNumberFormat="1" applyFont="1"/>
    <xf numFmtId="0" fontId="42" fillId="32" borderId="18" xfId="75" applyFont="1" applyFill="1" applyBorder="1" applyAlignment="1">
      <alignment horizontal="center" vertical="center" wrapText="1"/>
    </xf>
    <xf numFmtId="10" fontId="33" fillId="0" borderId="18" xfId="230" applyNumberFormat="1" applyFont="1" applyFill="1" applyBorder="1" applyAlignment="1">
      <alignment horizontal="center" vertical="center" wrapText="1"/>
    </xf>
    <xf numFmtId="169" fontId="33" fillId="0" borderId="18" xfId="231" applyNumberFormat="1" applyFont="1" applyFill="1" applyBorder="1" applyAlignment="1">
      <alignment horizontal="center" vertical="center" wrapText="1"/>
    </xf>
    <xf numFmtId="43" fontId="33" fillId="0" borderId="18" xfId="231" applyFont="1" applyFill="1" applyBorder="1" applyAlignment="1">
      <alignment horizontal="center" vertical="center" wrapText="1"/>
    </xf>
    <xf numFmtId="10" fontId="33" fillId="0" borderId="38" xfId="230" applyNumberFormat="1" applyFont="1" applyFill="1" applyBorder="1" applyAlignment="1">
      <alignment horizontal="center" vertical="center" wrapText="1"/>
    </xf>
    <xf numFmtId="169" fontId="33" fillId="0" borderId="38" xfId="231" applyNumberFormat="1" applyFont="1" applyFill="1" applyBorder="1" applyAlignment="1">
      <alignment horizontal="center" vertical="center" wrapText="1"/>
    </xf>
    <xf numFmtId="43" fontId="33" fillId="0" borderId="38" xfId="231" applyFont="1" applyFill="1" applyBorder="1" applyAlignment="1">
      <alignment horizontal="center" vertical="center" wrapText="1"/>
    </xf>
    <xf numFmtId="2" fontId="33" fillId="0" borderId="38" xfId="87" applyNumberFormat="1" applyFont="1" applyBorder="1" applyAlignment="1">
      <alignment horizontal="center" vertical="center"/>
    </xf>
    <xf numFmtId="0" fontId="33" fillId="0" borderId="30" xfId="87" applyFont="1" applyBorder="1" applyAlignment="1">
      <alignment horizontal="center" vertical="center" wrapText="1"/>
    </xf>
    <xf numFmtId="10" fontId="33" fillId="0" borderId="31" xfId="230" applyNumberFormat="1" applyFont="1" applyFill="1" applyBorder="1" applyAlignment="1">
      <alignment horizontal="center" vertical="center" wrapText="1"/>
    </xf>
    <xf numFmtId="169" fontId="33" fillId="0" borderId="31" xfId="231" applyNumberFormat="1" applyFont="1" applyFill="1" applyBorder="1" applyAlignment="1">
      <alignment horizontal="center" vertical="center" wrapText="1"/>
    </xf>
    <xf numFmtId="43" fontId="33" fillId="0" borderId="31" xfId="231" applyFont="1" applyFill="1" applyBorder="1" applyAlignment="1">
      <alignment horizontal="center" vertical="center" wrapText="1"/>
    </xf>
    <xf numFmtId="2" fontId="33" fillId="0" borderId="31" xfId="87" applyNumberFormat="1" applyFont="1" applyBorder="1" applyAlignment="1">
      <alignment horizontal="center" vertical="center"/>
    </xf>
    <xf numFmtId="2" fontId="33" fillId="0" borderId="63" xfId="87" applyNumberFormat="1" applyFont="1" applyBorder="1" applyAlignment="1">
      <alignment horizontal="center" vertical="center"/>
    </xf>
    <xf numFmtId="0" fontId="33" fillId="0" borderId="32" xfId="87" applyFont="1" applyBorder="1" applyAlignment="1">
      <alignment horizontal="center" vertical="center" wrapText="1"/>
    </xf>
    <xf numFmtId="2" fontId="33" fillId="0" borderId="33" xfId="87" applyNumberFormat="1" applyFont="1" applyBorder="1" applyAlignment="1">
      <alignment horizontal="center" vertical="center"/>
    </xf>
    <xf numFmtId="0" fontId="69" fillId="0" borderId="0" xfId="87" applyFont="1" applyAlignment="1">
      <alignment horizontal="left" wrapText="1"/>
    </xf>
    <xf numFmtId="0" fontId="33" fillId="37" borderId="34" xfId="87" applyFont="1" applyFill="1" applyBorder="1" applyAlignment="1">
      <alignment horizontal="center" vertical="center" wrapText="1"/>
    </xf>
    <xf numFmtId="10" fontId="33" fillId="37" borderId="35" xfId="230" applyNumberFormat="1" applyFont="1" applyFill="1" applyBorder="1" applyAlignment="1">
      <alignment horizontal="center" vertical="center" wrapText="1"/>
    </xf>
    <xf numFmtId="169" fontId="33" fillId="37" borderId="35" xfId="231" applyNumberFormat="1" applyFont="1" applyFill="1" applyBorder="1" applyAlignment="1">
      <alignment horizontal="center" vertical="center" wrapText="1"/>
    </xf>
    <xf numFmtId="43" fontId="33" fillId="37" borderId="35" xfId="231" applyFont="1" applyFill="1" applyBorder="1" applyAlignment="1">
      <alignment horizontal="center" vertical="center" wrapText="1"/>
    </xf>
    <xf numFmtId="2" fontId="33" fillId="37" borderId="35" xfId="87" applyNumberFormat="1" applyFont="1" applyFill="1" applyBorder="1" applyAlignment="1">
      <alignment horizontal="center" vertical="center"/>
    </xf>
    <xf numFmtId="2" fontId="33" fillId="37" borderId="64" xfId="87" applyNumberFormat="1" applyFont="1" applyFill="1" applyBorder="1" applyAlignment="1">
      <alignment horizontal="center" vertical="center"/>
    </xf>
    <xf numFmtId="0" fontId="33" fillId="0" borderId="27" xfId="87" applyFont="1" applyBorder="1" applyAlignment="1">
      <alignment horizontal="center" vertical="center" wrapText="1"/>
    </xf>
    <xf numFmtId="10" fontId="33" fillId="0" borderId="27" xfId="230" applyNumberFormat="1" applyFont="1" applyFill="1" applyBorder="1" applyAlignment="1">
      <alignment horizontal="center" vertical="center" wrapText="1"/>
    </xf>
    <xf numFmtId="169" fontId="33" fillId="0" borderId="27" xfId="231" applyNumberFormat="1" applyFont="1" applyFill="1" applyBorder="1" applyAlignment="1">
      <alignment horizontal="center" vertical="center" wrapText="1"/>
    </xf>
    <xf numFmtId="43" fontId="33" fillId="0" borderId="27" xfId="231" applyFont="1" applyFill="1" applyBorder="1" applyAlignment="1">
      <alignment horizontal="center" vertical="center" wrapText="1"/>
    </xf>
    <xf numFmtId="2" fontId="33" fillId="0" borderId="27" xfId="87" applyNumberFormat="1" applyFont="1" applyBorder="1" applyAlignment="1">
      <alignment horizontal="center" vertical="center"/>
    </xf>
    <xf numFmtId="0" fontId="8" fillId="25" borderId="18" xfId="0" applyFont="1" applyFill="1" applyBorder="1" applyAlignment="1" applyProtection="1">
      <alignment horizontal="center" vertical="center"/>
      <protection locked="0"/>
    </xf>
    <xf numFmtId="165" fontId="57" fillId="24" borderId="0" xfId="220" applyNumberFormat="1" applyFont="1" applyFill="1" applyAlignment="1">
      <alignment horizontal="left" vertical="center"/>
    </xf>
    <xf numFmtId="165" fontId="57" fillId="24" borderId="66" xfId="220" applyNumberFormat="1" applyFont="1" applyFill="1" applyBorder="1" applyAlignment="1">
      <alignment horizontal="left" vertical="center"/>
    </xf>
    <xf numFmtId="0" fontId="70" fillId="0" borderId="0" xfId="220" applyFont="1" applyAlignment="1">
      <alignment horizontal="left" vertical="center"/>
    </xf>
    <xf numFmtId="0" fontId="64" fillId="25" borderId="18" xfId="0" applyFont="1" applyFill="1" applyBorder="1" applyAlignment="1" applyProtection="1">
      <alignment horizontal="left" vertical="center"/>
      <protection locked="0"/>
    </xf>
    <xf numFmtId="0" fontId="64" fillId="0" borderId="18" xfId="0" applyFont="1" applyBorder="1" applyAlignment="1" applyProtection="1">
      <alignment horizontal="left" vertical="center"/>
      <protection locked="0"/>
    </xf>
    <xf numFmtId="171" fontId="63" fillId="29" borderId="38" xfId="1" applyNumberFormat="1" applyFont="1" applyFill="1" applyBorder="1"/>
    <xf numFmtId="165" fontId="0" fillId="0" borderId="0" xfId="1" applyFont="1"/>
    <xf numFmtId="170" fontId="57" fillId="0" borderId="0" xfId="228" applyNumberFormat="1" applyFont="1" applyFill="1" applyAlignment="1">
      <alignment horizontal="center" vertical="center"/>
    </xf>
    <xf numFmtId="172" fontId="56" fillId="0" borderId="0" xfId="228" applyNumberFormat="1" applyFont="1" applyAlignment="1">
      <alignment horizontal="center"/>
    </xf>
    <xf numFmtId="171" fontId="8" fillId="40" borderId="18" xfId="56" applyNumberFormat="1" applyFont="1" applyFill="1" applyBorder="1"/>
    <xf numFmtId="171" fontId="63" fillId="40" borderId="18" xfId="1" applyNumberFormat="1" applyFont="1" applyFill="1" applyBorder="1"/>
    <xf numFmtId="165" fontId="57" fillId="24" borderId="0" xfId="1" applyFont="1" applyFill="1"/>
    <xf numFmtId="165" fontId="57" fillId="24" borderId="66" xfId="1" applyFont="1" applyFill="1" applyBorder="1"/>
    <xf numFmtId="0" fontId="8" fillId="0" borderId="8" xfId="43" applyFont="1" applyBorder="1" applyAlignment="1">
      <alignment horizontal="center" vertical="center" wrapText="1"/>
    </xf>
    <xf numFmtId="0" fontId="50" fillId="0" borderId="0" xfId="75" applyFont="1" applyAlignment="1">
      <alignment horizontal="center"/>
    </xf>
    <xf numFmtId="0" fontId="42" fillId="0" borderId="0" xfId="75" applyFont="1" applyAlignment="1">
      <alignment horizontal="center" vertical="center" wrapText="1"/>
    </xf>
    <xf numFmtId="2" fontId="33" fillId="0" borderId="0" xfId="87" applyNumberFormat="1" applyFont="1" applyAlignment="1">
      <alignment horizontal="center" vertical="center"/>
    </xf>
    <xf numFmtId="0" fontId="33" fillId="0" borderId="18" xfId="87" applyFont="1" applyBorder="1"/>
    <xf numFmtId="0" fontId="52" fillId="0" borderId="0" xfId="87" applyFont="1"/>
    <xf numFmtId="0" fontId="42" fillId="0" borderId="30" xfId="87" applyFont="1" applyBorder="1" applyAlignment="1">
      <alignment horizontal="center" vertical="center" wrapText="1"/>
    </xf>
    <xf numFmtId="0" fontId="42" fillId="0" borderId="31" xfId="87" applyFont="1" applyBorder="1" applyAlignment="1">
      <alignment horizontal="center" vertical="center" wrapText="1"/>
    </xf>
    <xf numFmtId="0" fontId="42" fillId="0" borderId="32" xfId="87" applyFont="1" applyBorder="1" applyAlignment="1">
      <alignment horizontal="center" vertical="center" wrapText="1"/>
    </xf>
    <xf numFmtId="0" fontId="42" fillId="32" borderId="32" xfId="75" applyFont="1" applyFill="1" applyBorder="1" applyAlignment="1">
      <alignment horizontal="center" vertical="center" wrapText="1"/>
    </xf>
    <xf numFmtId="0" fontId="42" fillId="32" borderId="33" xfId="75" applyFont="1" applyFill="1" applyBorder="1" applyAlignment="1">
      <alignment horizontal="center" vertical="center" wrapText="1"/>
    </xf>
    <xf numFmtId="0" fontId="33" fillId="0" borderId="34" xfId="87" applyFont="1" applyBorder="1" applyAlignment="1">
      <alignment horizontal="center" vertical="center" wrapText="1"/>
    </xf>
    <xf numFmtId="10" fontId="33" fillId="0" borderId="35" xfId="230" applyNumberFormat="1" applyFont="1" applyFill="1" applyBorder="1" applyAlignment="1">
      <alignment horizontal="center" vertical="center" wrapText="1"/>
    </xf>
    <xf numFmtId="169" fontId="33" fillId="0" borderId="35" xfId="231" applyNumberFormat="1" applyFont="1" applyFill="1" applyBorder="1" applyAlignment="1">
      <alignment horizontal="center" vertical="center" wrapText="1"/>
    </xf>
    <xf numFmtId="43" fontId="33" fillId="0" borderId="35" xfId="231" applyFont="1" applyFill="1" applyBorder="1" applyAlignment="1">
      <alignment horizontal="center" vertical="center" wrapText="1"/>
    </xf>
    <xf numFmtId="2" fontId="33" fillId="0" borderId="35" xfId="87" applyNumberFormat="1" applyFont="1" applyBorder="1" applyAlignment="1">
      <alignment horizontal="center" vertical="center"/>
    </xf>
    <xf numFmtId="2" fontId="33" fillId="0" borderId="64" xfId="87" applyNumberFormat="1" applyFont="1" applyBorder="1" applyAlignment="1">
      <alignment horizontal="center" vertical="center"/>
    </xf>
    <xf numFmtId="170" fontId="0" fillId="0" borderId="0" xfId="1" applyNumberFormat="1" applyFont="1"/>
    <xf numFmtId="0" fontId="8" fillId="0" borderId="32" xfId="0" applyFont="1" applyBorder="1" applyAlignment="1">
      <alignment horizontal="center"/>
    </xf>
    <xf numFmtId="44" fontId="8" fillId="0" borderId="33" xfId="0" applyNumberFormat="1" applyFont="1" applyBorder="1"/>
    <xf numFmtId="171" fontId="8" fillId="0" borderId="33" xfId="0" applyNumberFormat="1" applyFont="1" applyBorder="1"/>
    <xf numFmtId="0" fontId="8" fillId="0" borderId="34" xfId="0" applyFont="1" applyBorder="1" applyAlignment="1">
      <alignment horizontal="center"/>
    </xf>
    <xf numFmtId="173" fontId="61" fillId="0" borderId="0" xfId="226" applyNumberFormat="1" applyFont="1" applyBorder="1" applyAlignment="1">
      <alignment horizontal="center"/>
    </xf>
    <xf numFmtId="2" fontId="8" fillId="0" borderId="18" xfId="226" applyNumberFormat="1" applyFont="1" applyBorder="1" applyAlignment="1">
      <alignment horizontal="center"/>
    </xf>
    <xf numFmtId="9" fontId="8" fillId="0" borderId="18" xfId="81" applyFont="1" applyBorder="1" applyAlignment="1">
      <alignment horizontal="center"/>
    </xf>
    <xf numFmtId="2" fontId="8" fillId="0" borderId="18" xfId="226" applyNumberFormat="1" applyFont="1" applyFill="1" applyBorder="1" applyAlignment="1">
      <alignment horizontal="center"/>
    </xf>
    <xf numFmtId="0" fontId="0" fillId="42" borderId="0" xfId="0" applyFill="1"/>
    <xf numFmtId="2" fontId="8" fillId="42" borderId="18" xfId="226" applyNumberFormat="1" applyFont="1" applyFill="1" applyBorder="1" applyAlignment="1">
      <alignment horizontal="center"/>
    </xf>
    <xf numFmtId="9" fontId="8" fillId="42" borderId="18" xfId="81" applyFont="1" applyFill="1" applyBorder="1" applyAlignment="1">
      <alignment horizontal="center"/>
    </xf>
    <xf numFmtId="2" fontId="8" fillId="0" borderId="35" xfId="226" applyNumberFormat="1" applyFont="1" applyBorder="1" applyAlignment="1">
      <alignment horizontal="center"/>
    </xf>
    <xf numFmtId="9" fontId="8" fillId="0" borderId="35" xfId="81" applyFont="1" applyBorder="1" applyAlignment="1">
      <alignment horizontal="center"/>
    </xf>
    <xf numFmtId="0" fontId="32" fillId="0" borderId="32" xfId="0" applyFont="1" applyBorder="1" applyAlignment="1">
      <alignment horizontal="left" indent="2"/>
    </xf>
    <xf numFmtId="0" fontId="71" fillId="0" borderId="32" xfId="0" applyFont="1" applyBorder="1" applyAlignment="1">
      <alignment horizontal="left" indent="5"/>
    </xf>
    <xf numFmtId="0" fontId="44" fillId="0" borderId="30" xfId="0" applyFont="1" applyBorder="1"/>
    <xf numFmtId="167" fontId="43" fillId="0" borderId="63" xfId="1" applyNumberFormat="1" applyFont="1" applyFill="1" applyBorder="1"/>
    <xf numFmtId="170" fontId="44" fillId="0" borderId="33" xfId="1" applyNumberFormat="1" applyFont="1" applyFill="1" applyBorder="1" applyAlignment="1">
      <alignment horizontal="center" vertical="center"/>
    </xf>
    <xf numFmtId="170" fontId="72" fillId="0" borderId="33" xfId="1" applyNumberFormat="1" applyFont="1" applyFill="1" applyBorder="1" applyAlignment="1">
      <alignment horizontal="center" vertical="center"/>
    </xf>
    <xf numFmtId="170" fontId="44" fillId="0" borderId="18" xfId="1" applyNumberFormat="1" applyFont="1" applyFill="1" applyBorder="1" applyAlignment="1">
      <alignment horizontal="center" vertical="center"/>
    </xf>
    <xf numFmtId="0" fontId="43" fillId="0" borderId="18" xfId="0" applyFont="1" applyBorder="1"/>
    <xf numFmtId="167" fontId="43" fillId="0" borderId="31" xfId="1" applyNumberFormat="1" applyFont="1" applyFill="1" applyBorder="1" applyAlignment="1">
      <alignment horizontal="center" vertical="center"/>
    </xf>
    <xf numFmtId="9" fontId="43" fillId="0" borderId="0" xfId="81" applyFont="1" applyFill="1" applyBorder="1"/>
    <xf numFmtId="172" fontId="43" fillId="0" borderId="0" xfId="0" applyNumberFormat="1" applyFont="1"/>
    <xf numFmtId="2" fontId="33" fillId="0" borderId="18" xfId="87" applyNumberFormat="1" applyFont="1" applyBorder="1" applyAlignment="1">
      <alignment horizontal="right"/>
    </xf>
    <xf numFmtId="2" fontId="33" fillId="37" borderId="18" xfId="87" applyNumberFormat="1" applyFont="1" applyFill="1" applyBorder="1" applyAlignment="1">
      <alignment horizontal="right"/>
    </xf>
    <xf numFmtId="0" fontId="73" fillId="0" borderId="0" xfId="0" applyFont="1"/>
    <xf numFmtId="0" fontId="74" fillId="45" borderId="24" xfId="0" applyFont="1" applyFill="1" applyBorder="1" applyAlignment="1">
      <alignment horizontal="center" wrapText="1"/>
    </xf>
    <xf numFmtId="171" fontId="74" fillId="45" borderId="62" xfId="218" applyNumberFormat="1" applyFont="1" applyFill="1" applyBorder="1" applyAlignment="1"/>
    <xf numFmtId="0" fontId="74" fillId="0" borderId="0" xfId="0" applyFont="1" applyAlignment="1">
      <alignment horizontal="center" wrapText="1"/>
    </xf>
    <xf numFmtId="175" fontId="73" fillId="0" borderId="0" xfId="218" applyNumberFormat="1" applyFont="1" applyFill="1" applyBorder="1" applyAlignment="1">
      <alignment horizontal="center"/>
    </xf>
    <xf numFmtId="175" fontId="74" fillId="0" borderId="0" xfId="218" applyNumberFormat="1" applyFont="1" applyFill="1" applyBorder="1" applyAlignment="1">
      <alignment horizontal="center"/>
    </xf>
    <xf numFmtId="0" fontId="35" fillId="26" borderId="5" xfId="0" quotePrefix="1" applyFont="1" applyFill="1" applyBorder="1" applyAlignment="1">
      <alignment horizontal="center" vertical="top" wrapText="1"/>
    </xf>
    <xf numFmtId="170" fontId="8" fillId="27" borderId="18" xfId="1" applyNumberFormat="1" applyFont="1" applyFill="1" applyBorder="1"/>
    <xf numFmtId="170" fontId="8" fillId="0" borderId="18" xfId="1" applyNumberFormat="1" applyFont="1" applyBorder="1"/>
    <xf numFmtId="170" fontId="8" fillId="0" borderId="18" xfId="56" applyNumberFormat="1" applyFont="1" applyBorder="1"/>
    <xf numFmtId="170" fontId="31" fillId="0" borderId="18" xfId="0" applyNumberFormat="1" applyFont="1" applyBorder="1"/>
    <xf numFmtId="170" fontId="8" fillId="0" borderId="18" xfId="56" applyNumberFormat="1" applyFont="1" applyFill="1" applyBorder="1"/>
    <xf numFmtId="170" fontId="8" fillId="0" borderId="21" xfId="56" applyNumberFormat="1" applyFont="1" applyBorder="1"/>
    <xf numFmtId="170" fontId="8" fillId="0" borderId="20" xfId="1" applyNumberFormat="1" applyFont="1" applyBorder="1"/>
    <xf numFmtId="170" fontId="8" fillId="0" borderId="35" xfId="1" applyNumberFormat="1" applyFont="1" applyBorder="1"/>
    <xf numFmtId="170" fontId="8" fillId="0" borderId="70" xfId="56" applyNumberFormat="1" applyFont="1" applyBorder="1"/>
    <xf numFmtId="171" fontId="31" fillId="40" borderId="18" xfId="0" applyNumberFormat="1" applyFont="1" applyFill="1" applyBorder="1"/>
    <xf numFmtId="171" fontId="8" fillId="40" borderId="33" xfId="0" applyNumberFormat="1" applyFont="1" applyFill="1" applyBorder="1"/>
    <xf numFmtId="0" fontId="35" fillId="0" borderId="18" xfId="0" applyFont="1" applyBorder="1" applyAlignment="1">
      <alignment horizontal="center"/>
    </xf>
    <xf numFmtId="10" fontId="36" fillId="0" borderId="18" xfId="225" quotePrefix="1" applyNumberFormat="1" applyFont="1" applyFill="1" applyBorder="1" applyAlignment="1">
      <alignment horizontal="center"/>
    </xf>
    <xf numFmtId="0" fontId="8" fillId="0" borderId="18" xfId="0" quotePrefix="1" applyFont="1" applyBorder="1" applyAlignment="1">
      <alignment horizontal="center"/>
    </xf>
    <xf numFmtId="0" fontId="8" fillId="0" borderId="33" xfId="0" applyFont="1" applyBorder="1" applyAlignment="1">
      <alignment horizontal="center"/>
    </xf>
    <xf numFmtId="0" fontId="8" fillId="0" borderId="58" xfId="0" applyFont="1" applyBorder="1" applyAlignment="1">
      <alignment horizontal="center"/>
    </xf>
    <xf numFmtId="0" fontId="35" fillId="0" borderId="27" xfId="0" applyFont="1" applyBorder="1" applyAlignment="1">
      <alignment horizontal="center"/>
    </xf>
    <xf numFmtId="10" fontId="36" fillId="0" borderId="27" xfId="225" quotePrefix="1" applyNumberFormat="1" applyFont="1" applyFill="1" applyBorder="1" applyAlignment="1">
      <alignment horizontal="center"/>
    </xf>
    <xf numFmtId="0" fontId="8" fillId="0" borderId="27" xfId="0" applyFont="1" applyBorder="1" applyAlignment="1">
      <alignment horizontal="center"/>
    </xf>
    <xf numFmtId="0" fontId="8" fillId="0" borderId="27" xfId="0" quotePrefix="1" applyFont="1" applyBorder="1" applyAlignment="1">
      <alignment horizontal="center"/>
    </xf>
    <xf numFmtId="0" fontId="8" fillId="0" borderId="65" xfId="0" applyFont="1" applyBorder="1" applyAlignment="1">
      <alignment horizontal="center"/>
    </xf>
    <xf numFmtId="0" fontId="8" fillId="26" borderId="76" xfId="0" applyFont="1" applyFill="1" applyBorder="1" applyAlignment="1">
      <alignment horizontal="center"/>
    </xf>
    <xf numFmtId="0" fontId="35" fillId="26" borderId="6" xfId="0" applyFont="1" applyFill="1" applyBorder="1" applyAlignment="1">
      <alignment horizontal="center" vertical="top" wrapText="1"/>
    </xf>
    <xf numFmtId="0" fontId="35" fillId="26" borderId="6" xfId="0" applyFont="1" applyFill="1" applyBorder="1" applyAlignment="1">
      <alignment horizontal="center"/>
    </xf>
    <xf numFmtId="10" fontId="36" fillId="26" borderId="6" xfId="225" quotePrefix="1" applyNumberFormat="1" applyFont="1" applyFill="1" applyBorder="1" applyAlignment="1">
      <alignment horizontal="center"/>
    </xf>
    <xf numFmtId="0" fontId="8" fillId="26" borderId="6" xfId="0" applyFont="1" applyFill="1" applyBorder="1" applyAlignment="1">
      <alignment horizontal="center"/>
    </xf>
    <xf numFmtId="0" fontId="8" fillId="26" borderId="36" xfId="0" applyFont="1" applyFill="1" applyBorder="1" applyAlignment="1">
      <alignment horizontal="center"/>
    </xf>
    <xf numFmtId="0" fontId="8" fillId="26" borderId="77" xfId="0" quotePrefix="1" applyFont="1" applyFill="1" applyBorder="1" applyAlignment="1">
      <alignment horizontal="center"/>
    </xf>
    <xf numFmtId="0" fontId="8" fillId="26" borderId="71" xfId="0" applyFont="1" applyFill="1" applyBorder="1" applyAlignment="1">
      <alignment horizontal="center"/>
    </xf>
    <xf numFmtId="44" fontId="8" fillId="0" borderId="27" xfId="56" applyNumberFormat="1" applyFont="1" applyBorder="1"/>
    <xf numFmtId="1" fontId="8" fillId="0" borderId="27" xfId="226" applyNumberFormat="1" applyFont="1" applyBorder="1" applyAlignment="1">
      <alignment horizontal="center"/>
    </xf>
    <xf numFmtId="44" fontId="8" fillId="0" borderId="65" xfId="0" applyNumberFormat="1" applyFont="1" applyBorder="1"/>
    <xf numFmtId="170" fontId="8" fillId="0" borderId="35" xfId="56" applyNumberFormat="1" applyFont="1" applyBorder="1"/>
    <xf numFmtId="170" fontId="8" fillId="0" borderId="35" xfId="56" applyNumberFormat="1" applyFont="1" applyFill="1" applyBorder="1"/>
    <xf numFmtId="170" fontId="8" fillId="0" borderId="33" xfId="0" applyNumberFormat="1" applyFont="1" applyBorder="1"/>
    <xf numFmtId="170" fontId="31" fillId="0" borderId="35" xfId="0" applyNumberFormat="1" applyFont="1" applyBorder="1"/>
    <xf numFmtId="170" fontId="8" fillId="0" borderId="64" xfId="0" applyNumberFormat="1" applyFont="1" applyBorder="1"/>
    <xf numFmtId="170" fontId="35" fillId="31" borderId="5" xfId="55" applyNumberFormat="1" applyFont="1" applyFill="1" applyBorder="1" applyAlignment="1">
      <alignment horizontal="center"/>
    </xf>
    <xf numFmtId="171" fontId="8" fillId="40" borderId="38" xfId="56" applyNumberFormat="1" applyFont="1" applyFill="1" applyBorder="1"/>
    <xf numFmtId="171" fontId="31" fillId="40" borderId="38" xfId="0" applyNumberFormat="1" applyFont="1" applyFill="1" applyBorder="1"/>
    <xf numFmtId="0" fontId="8" fillId="0" borderId="30" xfId="0" applyFont="1" applyBorder="1" applyAlignment="1">
      <alignment horizontal="center"/>
    </xf>
    <xf numFmtId="9" fontId="8" fillId="0" borderId="31" xfId="81" applyFont="1" applyBorder="1" applyAlignment="1">
      <alignment horizontal="center"/>
    </xf>
    <xf numFmtId="0" fontId="8" fillId="42" borderId="32" xfId="0" applyFont="1" applyFill="1" applyBorder="1" applyAlignment="1">
      <alignment horizontal="center"/>
    </xf>
    <xf numFmtId="170" fontId="8" fillId="0" borderId="31" xfId="1" applyNumberFormat="1" applyFont="1" applyFill="1" applyBorder="1"/>
    <xf numFmtId="170" fontId="8" fillId="0" borderId="31" xfId="56" applyNumberFormat="1" applyFont="1" applyBorder="1"/>
    <xf numFmtId="170" fontId="8" fillId="42" borderId="18" xfId="1" applyNumberFormat="1" applyFont="1" applyFill="1" applyBorder="1"/>
    <xf numFmtId="170" fontId="8" fillId="42" borderId="18" xfId="56" applyNumberFormat="1" applyFont="1" applyFill="1" applyBorder="1"/>
    <xf numFmtId="170" fontId="31" fillId="0" borderId="31" xfId="56" applyNumberFormat="1" applyFont="1" applyFill="1" applyBorder="1"/>
    <xf numFmtId="170" fontId="31" fillId="0" borderId="31" xfId="0" applyNumberFormat="1" applyFont="1" applyBorder="1"/>
    <xf numFmtId="170" fontId="8" fillId="0" borderId="63" xfId="0" applyNumberFormat="1" applyFont="1" applyBorder="1"/>
    <xf numFmtId="170" fontId="31" fillId="42" borderId="18" xfId="0" applyNumberFormat="1" applyFont="1" applyFill="1" applyBorder="1"/>
    <xf numFmtId="170" fontId="8" fillId="42" borderId="33" xfId="0" applyNumberFormat="1" applyFont="1" applyFill="1" applyBorder="1"/>
    <xf numFmtId="170" fontId="8" fillId="0" borderId="31" xfId="1" applyNumberFormat="1" applyFont="1" applyBorder="1"/>
    <xf numFmtId="0" fontId="8" fillId="0" borderId="57" xfId="0" applyFont="1" applyBorder="1" applyAlignment="1">
      <alignment horizontal="center"/>
    </xf>
    <xf numFmtId="171" fontId="63" fillId="29" borderId="60" xfId="1" applyNumberFormat="1" applyFont="1" applyFill="1" applyBorder="1"/>
    <xf numFmtId="171" fontId="8" fillId="40" borderId="69" xfId="0" applyNumberFormat="1" applyFont="1" applyFill="1" applyBorder="1"/>
    <xf numFmtId="0" fontId="8" fillId="0" borderId="68" xfId="0" applyFont="1" applyBorder="1" applyAlignment="1">
      <alignment horizontal="center"/>
    </xf>
    <xf numFmtId="170" fontId="8" fillId="27" borderId="31" xfId="1" applyNumberFormat="1" applyFont="1" applyFill="1" applyBorder="1"/>
    <xf numFmtId="171" fontId="63" fillId="40" borderId="38" xfId="1" applyNumberFormat="1" applyFont="1" applyFill="1" applyBorder="1"/>
    <xf numFmtId="171" fontId="63" fillId="44" borderId="38" xfId="1" applyNumberFormat="1" applyFont="1" applyFill="1" applyBorder="1"/>
    <xf numFmtId="170" fontId="8" fillId="27" borderId="37" xfId="1" applyNumberFormat="1" applyFont="1" applyFill="1" applyBorder="1"/>
    <xf numFmtId="170" fontId="8" fillId="0" borderId="78" xfId="56" applyNumberFormat="1" applyFont="1" applyBorder="1"/>
    <xf numFmtId="170" fontId="8" fillId="0" borderId="79" xfId="1" applyNumberFormat="1" applyFont="1" applyBorder="1"/>
    <xf numFmtId="170" fontId="0" fillId="42" borderId="0" xfId="1" applyNumberFormat="1" applyFont="1" applyFill="1"/>
    <xf numFmtId="170" fontId="8" fillId="42" borderId="20" xfId="1" applyNumberFormat="1" applyFont="1" applyFill="1" applyBorder="1"/>
    <xf numFmtId="170" fontId="8" fillId="42" borderId="21" xfId="56" applyNumberFormat="1" applyFont="1" applyFill="1" applyBorder="1"/>
    <xf numFmtId="170" fontId="8" fillId="0" borderId="18" xfId="1" applyNumberFormat="1" applyFont="1" applyFill="1" applyBorder="1"/>
    <xf numFmtId="2" fontId="8" fillId="0" borderId="35" xfId="226" applyNumberFormat="1" applyFont="1" applyFill="1" applyBorder="1" applyAlignment="1">
      <alignment horizontal="center"/>
    </xf>
    <xf numFmtId="166" fontId="32" fillId="0" borderId="35" xfId="87" applyNumberFormat="1" applyFont="1" applyBorder="1" applyAlignment="1">
      <alignment horizontal="center" vertical="center"/>
    </xf>
    <xf numFmtId="2" fontId="33" fillId="0" borderId="35" xfId="87" applyNumberFormat="1" applyFont="1" applyBorder="1" applyAlignment="1">
      <alignment horizontal="right"/>
    </xf>
    <xf numFmtId="2" fontId="42" fillId="0" borderId="0" xfId="87" applyNumberFormat="1" applyFont="1" applyAlignment="1">
      <alignment horizontal="center" vertical="center" wrapText="1"/>
    </xf>
    <xf numFmtId="2" fontId="33" fillId="0" borderId="47" xfId="87" applyNumberFormat="1" applyFont="1" applyBorder="1" applyAlignment="1">
      <alignment horizontal="center" vertical="center"/>
    </xf>
    <xf numFmtId="2" fontId="33" fillId="0" borderId="73" xfId="87" applyNumberFormat="1" applyFont="1" applyBorder="1" applyAlignment="1">
      <alignment horizontal="center" vertical="center"/>
    </xf>
    <xf numFmtId="2" fontId="33" fillId="0" borderId="80" xfId="87" applyNumberFormat="1" applyFont="1" applyBorder="1" applyAlignment="1">
      <alignment horizontal="center" vertical="center"/>
    </xf>
    <xf numFmtId="2" fontId="33" fillId="0" borderId="32" xfId="87" applyNumberFormat="1" applyFont="1" applyBorder="1" applyAlignment="1">
      <alignment horizontal="center" vertical="center"/>
    </xf>
    <xf numFmtId="2" fontId="33" fillId="0" borderId="34" xfId="87" applyNumberFormat="1" applyFont="1" applyBorder="1" applyAlignment="1">
      <alignment horizontal="center" vertical="center"/>
    </xf>
    <xf numFmtId="2" fontId="33" fillId="0" borderId="50" xfId="87" applyNumberFormat="1" applyFont="1" applyBorder="1" applyAlignment="1">
      <alignment horizontal="center" vertical="center"/>
    </xf>
    <xf numFmtId="2" fontId="33" fillId="0" borderId="56" xfId="87" applyNumberFormat="1" applyFont="1" applyBorder="1" applyAlignment="1">
      <alignment horizontal="center" vertical="center"/>
    </xf>
    <xf numFmtId="2" fontId="8" fillId="0" borderId="31" xfId="226" applyNumberFormat="1" applyFont="1" applyFill="1" applyBorder="1" applyAlignment="1">
      <alignment horizontal="center"/>
    </xf>
    <xf numFmtId="0" fontId="33" fillId="37" borderId="58" xfId="87" applyFont="1" applyFill="1" applyBorder="1" applyAlignment="1">
      <alignment horizontal="center" vertical="center" wrapText="1"/>
    </xf>
    <xf numFmtId="170" fontId="43" fillId="0" borderId="0" xfId="0" applyNumberFormat="1" applyFont="1"/>
    <xf numFmtId="168" fontId="11" fillId="33" borderId="44" xfId="1" applyNumberFormat="1" applyFont="1" applyFill="1" applyBorder="1" applyAlignment="1" applyProtection="1">
      <alignment horizontal="center" vertical="center" wrapText="1"/>
    </xf>
    <xf numFmtId="0" fontId="8" fillId="0" borderId="0" xfId="0" applyFont="1" applyAlignment="1">
      <alignment horizontal="center" vertical="center"/>
    </xf>
    <xf numFmtId="0" fontId="8" fillId="0" borderId="0" xfId="0" applyFont="1" applyAlignment="1">
      <alignment horizontal="center" vertical="center" wrapText="1"/>
    </xf>
    <xf numFmtId="0" fontId="8" fillId="25" borderId="8" xfId="43" applyFont="1" applyFill="1" applyBorder="1" applyAlignment="1">
      <alignment horizontal="center" vertical="center" wrapText="1"/>
    </xf>
    <xf numFmtId="175" fontId="73" fillId="0" borderId="0" xfId="218" applyNumberFormat="1" applyFont="1" applyFill="1" applyBorder="1" applyAlignment="1">
      <alignment horizontal="left"/>
    </xf>
    <xf numFmtId="2" fontId="33" fillId="46" borderId="2" xfId="87" applyNumberFormat="1" applyFont="1" applyFill="1" applyBorder="1" applyAlignment="1">
      <alignment horizontal="right"/>
    </xf>
    <xf numFmtId="2" fontId="33" fillId="46" borderId="30" xfId="87" applyNumberFormat="1" applyFont="1" applyFill="1" applyBorder="1" applyAlignment="1">
      <alignment horizontal="center" vertical="center"/>
    </xf>
    <xf numFmtId="0" fontId="33" fillId="0" borderId="68" xfId="87" applyFont="1" applyBorder="1" applyAlignment="1">
      <alignment horizontal="center" vertical="center" wrapText="1"/>
    </xf>
    <xf numFmtId="2" fontId="33" fillId="0" borderId="69" xfId="87" applyNumberFormat="1" applyFont="1" applyBorder="1" applyAlignment="1">
      <alignment horizontal="center" vertical="center"/>
    </xf>
    <xf numFmtId="170" fontId="76" fillId="38" borderId="31" xfId="1" applyNumberFormat="1" applyFont="1" applyFill="1" applyBorder="1"/>
    <xf numFmtId="170" fontId="8" fillId="38" borderId="31" xfId="56" applyNumberFormat="1" applyFont="1" applyFill="1" applyBorder="1"/>
    <xf numFmtId="170" fontId="8" fillId="38" borderId="18" xfId="56" applyNumberFormat="1" applyFont="1" applyFill="1" applyBorder="1"/>
    <xf numFmtId="170" fontId="76" fillId="38" borderId="37" xfId="1" applyNumberFormat="1" applyFont="1" applyFill="1" applyBorder="1"/>
    <xf numFmtId="170" fontId="0" fillId="39" borderId="18" xfId="0" applyNumberFormat="1" applyFill="1" applyBorder="1" applyAlignment="1">
      <alignment horizontal="center" vertical="center"/>
    </xf>
    <xf numFmtId="171" fontId="8" fillId="0" borderId="38" xfId="56" applyNumberFormat="1" applyFont="1" applyBorder="1"/>
    <xf numFmtId="171" fontId="31" fillId="0" borderId="38" xfId="0" applyNumberFormat="1" applyFont="1" applyBorder="1"/>
    <xf numFmtId="171" fontId="8" fillId="0" borderId="69" xfId="0" applyNumberFormat="1" applyFont="1" applyBorder="1"/>
    <xf numFmtId="170" fontId="76" fillId="0" borderId="31" xfId="1" applyNumberFormat="1" applyFont="1" applyFill="1" applyBorder="1"/>
    <xf numFmtId="0" fontId="0" fillId="0" borderId="0" xfId="0" applyAlignment="1">
      <alignment vertical="top" wrapText="1"/>
    </xf>
    <xf numFmtId="0" fontId="9" fillId="37" borderId="0" xfId="87" applyFill="1" applyAlignment="1">
      <alignment horizontal="center"/>
    </xf>
    <xf numFmtId="0" fontId="51" fillId="24" borderId="0" xfId="87" applyFont="1" applyFill="1" applyAlignment="1">
      <alignment horizontal="right" vertical="center"/>
    </xf>
    <xf numFmtId="0" fontId="9" fillId="0" borderId="0" xfId="87" applyAlignment="1">
      <alignment horizontal="right" vertical="center"/>
    </xf>
    <xf numFmtId="2" fontId="33" fillId="37" borderId="32" xfId="87" applyNumberFormat="1" applyFont="1" applyFill="1" applyBorder="1" applyAlignment="1">
      <alignment horizontal="center" vertical="center"/>
    </xf>
    <xf numFmtId="2" fontId="33" fillId="37" borderId="47" xfId="87" applyNumberFormat="1" applyFont="1" applyFill="1" applyBorder="1" applyAlignment="1">
      <alignment horizontal="center" vertical="center"/>
    </xf>
    <xf numFmtId="175" fontId="33" fillId="0" borderId="0" xfId="87" applyNumberFormat="1" applyFont="1"/>
    <xf numFmtId="0" fontId="77" fillId="0" borderId="0" xfId="0" applyFont="1"/>
    <xf numFmtId="0" fontId="42" fillId="0" borderId="34" xfId="87" applyFont="1" applyBorder="1" applyAlignment="1">
      <alignment horizontal="center" vertical="center" wrapText="1"/>
    </xf>
    <xf numFmtId="0" fontId="57" fillId="27" borderId="25" xfId="220" applyFont="1" applyFill="1" applyBorder="1" applyAlignment="1">
      <alignment horizontal="center" vertical="center"/>
    </xf>
    <xf numFmtId="0" fontId="57" fillId="27" borderId="0" xfId="220" applyFont="1" applyFill="1" applyAlignment="1">
      <alignment horizontal="left" vertical="center"/>
    </xf>
    <xf numFmtId="0" fontId="57" fillId="27" borderId="0" xfId="220" applyFont="1" applyFill="1" applyAlignment="1">
      <alignment horizontal="center" vertical="center"/>
    </xf>
    <xf numFmtId="9" fontId="57" fillId="27" borderId="0" xfId="81" applyFont="1" applyFill="1" applyBorder="1" applyAlignment="1">
      <alignment horizontal="center" vertical="center"/>
    </xf>
    <xf numFmtId="165" fontId="57" fillId="27" borderId="0" xfId="1" applyFont="1" applyFill="1" applyBorder="1" applyAlignment="1">
      <alignment horizontal="center" vertical="center"/>
    </xf>
    <xf numFmtId="165" fontId="57" fillId="27" borderId="49" xfId="1" applyFont="1" applyFill="1" applyBorder="1" applyAlignment="1">
      <alignment horizontal="center" vertical="center"/>
    </xf>
    <xf numFmtId="0" fontId="57" fillId="0" borderId="50" xfId="220" applyFont="1" applyBorder="1"/>
    <xf numFmtId="0" fontId="57" fillId="0" borderId="51" xfId="220" applyFont="1" applyBorder="1"/>
    <xf numFmtId="0" fontId="57" fillId="0" borderId="51" xfId="220" applyFont="1" applyBorder="1" applyAlignment="1">
      <alignment horizontal="center" vertical="center"/>
    </xf>
    <xf numFmtId="170" fontId="57" fillId="0" borderId="51" xfId="222" applyNumberFormat="1" applyFont="1" applyBorder="1" applyAlignment="1">
      <alignment horizontal="center" vertical="center"/>
    </xf>
    <xf numFmtId="0" fontId="57" fillId="27" borderId="45" xfId="220" applyFont="1" applyFill="1" applyBorder="1" applyAlignment="1">
      <alignment horizontal="center" vertical="center"/>
    </xf>
    <xf numFmtId="0" fontId="57" fillId="27" borderId="7" xfId="220" applyFont="1" applyFill="1" applyBorder="1" applyAlignment="1">
      <alignment horizontal="left" vertical="center"/>
    </xf>
    <xf numFmtId="0" fontId="57" fillId="27" borderId="7" xfId="220" applyFont="1" applyFill="1" applyBorder="1" applyAlignment="1">
      <alignment horizontal="center" vertical="center"/>
    </xf>
    <xf numFmtId="9" fontId="57" fillId="27" borderId="7" xfId="81" applyFont="1" applyFill="1" applyBorder="1" applyAlignment="1">
      <alignment horizontal="center" vertical="center"/>
    </xf>
    <xf numFmtId="165" fontId="57" fillId="27" borderId="7" xfId="1" applyFont="1" applyFill="1" applyBorder="1" applyAlignment="1">
      <alignment horizontal="center" vertical="center"/>
    </xf>
    <xf numFmtId="165" fontId="57" fillId="27" borderId="48" xfId="1" applyFont="1" applyFill="1" applyBorder="1" applyAlignment="1">
      <alignment horizontal="center" vertical="center"/>
    </xf>
    <xf numFmtId="0" fontId="55" fillId="0" borderId="0" xfId="0" applyFont="1"/>
    <xf numFmtId="0" fontId="32" fillId="0" borderId="63" xfId="87" applyFont="1" applyBorder="1" applyAlignment="1">
      <alignment horizontal="center" vertical="center" wrapText="1"/>
    </xf>
    <xf numFmtId="0" fontId="9" fillId="0" borderId="49" xfId="87" applyBorder="1"/>
    <xf numFmtId="166" fontId="32" fillId="0" borderId="64" xfId="87" applyNumberFormat="1" applyFont="1" applyBorder="1" applyAlignment="1">
      <alignment horizontal="center" vertical="center"/>
    </xf>
    <xf numFmtId="2" fontId="9" fillId="46" borderId="28" xfId="87" applyNumberFormat="1" applyFill="1" applyBorder="1"/>
    <xf numFmtId="2" fontId="9" fillId="0" borderId="33" xfId="87" applyNumberFormat="1" applyBorder="1"/>
    <xf numFmtId="2" fontId="9" fillId="37" borderId="33" xfId="87" applyNumberFormat="1" applyFill="1" applyBorder="1"/>
    <xf numFmtId="0" fontId="9" fillId="0" borderId="64" xfId="87" applyBorder="1"/>
    <xf numFmtId="2" fontId="33" fillId="0" borderId="23" xfId="87" applyNumberFormat="1" applyFont="1" applyBorder="1" applyAlignment="1">
      <alignment horizontal="right" vertical="center"/>
    </xf>
    <xf numFmtId="2" fontId="33" fillId="0" borderId="46" xfId="87" applyNumberFormat="1" applyFont="1" applyBorder="1" applyAlignment="1">
      <alignment horizontal="right" vertical="center"/>
    </xf>
    <xf numFmtId="166" fontId="33" fillId="0" borderId="50" xfId="87" applyNumberFormat="1" applyFont="1" applyBorder="1" applyAlignment="1">
      <alignment horizontal="right" vertical="center"/>
    </xf>
    <xf numFmtId="166" fontId="33" fillId="0" borderId="52" xfId="87" applyNumberFormat="1" applyFont="1" applyBorder="1" applyAlignment="1">
      <alignment horizontal="right" vertical="center"/>
    </xf>
    <xf numFmtId="0" fontId="81" fillId="32" borderId="40" xfId="0" applyFont="1" applyFill="1" applyBorder="1"/>
    <xf numFmtId="0" fontId="82" fillId="32" borderId="60" xfId="0" applyFont="1" applyFill="1" applyBorder="1"/>
    <xf numFmtId="0" fontId="81" fillId="32" borderId="18" xfId="0" applyFont="1" applyFill="1" applyBorder="1"/>
    <xf numFmtId="0" fontId="82" fillId="0" borderId="18" xfId="0" applyFont="1" applyBorder="1"/>
    <xf numFmtId="10" fontId="82" fillId="0" borderId="18" xfId="0" applyNumberFormat="1" applyFont="1" applyBorder="1"/>
    <xf numFmtId="10" fontId="82" fillId="0" borderId="18" xfId="81" applyNumberFormat="1" applyFont="1" applyFill="1" applyBorder="1"/>
    <xf numFmtId="0" fontId="81" fillId="0" borderId="0" xfId="0" applyFont="1"/>
    <xf numFmtId="0" fontId="82" fillId="0" borderId="0" xfId="0" applyFont="1"/>
    <xf numFmtId="0" fontId="82" fillId="27" borderId="40" xfId="0" applyFont="1" applyFill="1" applyBorder="1"/>
    <xf numFmtId="0" fontId="82" fillId="27" borderId="41" xfId="0" applyFont="1" applyFill="1" applyBorder="1"/>
    <xf numFmtId="0" fontId="82" fillId="27" borderId="60" xfId="0" applyFont="1" applyFill="1" applyBorder="1"/>
    <xf numFmtId="0" fontId="82" fillId="27" borderId="29" xfId="0" applyFont="1" applyFill="1" applyBorder="1"/>
    <xf numFmtId="0" fontId="82" fillId="27" borderId="0" xfId="0" applyFont="1" applyFill="1"/>
    <xf numFmtId="0" fontId="82" fillId="27" borderId="3" xfId="0" applyFont="1" applyFill="1" applyBorder="1"/>
    <xf numFmtId="10" fontId="82" fillId="0" borderId="0" xfId="0" applyNumberFormat="1" applyFont="1"/>
    <xf numFmtId="0" fontId="82" fillId="0" borderId="0" xfId="0" applyFont="1" applyAlignment="1">
      <alignment horizontal="center"/>
    </xf>
    <xf numFmtId="10" fontId="81" fillId="0" borderId="0" xfId="81" applyNumberFormat="1" applyFont="1" applyBorder="1"/>
    <xf numFmtId="168" fontId="82" fillId="0" borderId="0" xfId="0" applyNumberFormat="1" applyFont="1"/>
    <xf numFmtId="9" fontId="82" fillId="0" borderId="0" xfId="81" applyFont="1" applyFill="1" applyBorder="1"/>
    <xf numFmtId="10" fontId="82" fillId="0" borderId="0" xfId="81" applyNumberFormat="1" applyFont="1" applyFill="1" applyBorder="1"/>
    <xf numFmtId="0" fontId="79" fillId="40" borderId="30" xfId="0" applyFont="1" applyFill="1" applyBorder="1"/>
    <xf numFmtId="0" fontId="79" fillId="40" borderId="63" xfId="0" applyFont="1" applyFill="1" applyBorder="1"/>
    <xf numFmtId="0" fontId="73" fillId="27" borderId="57" xfId="0" applyFont="1" applyFill="1" applyBorder="1" applyAlignment="1">
      <alignment horizontal="left"/>
    </xf>
    <xf numFmtId="171" fontId="73" fillId="27" borderId="0" xfId="218" applyNumberFormat="1" applyFont="1" applyFill="1" applyBorder="1" applyAlignment="1">
      <alignment horizontal="center"/>
    </xf>
    <xf numFmtId="0" fontId="73" fillId="27" borderId="25" xfId="0" applyFont="1" applyFill="1" applyBorder="1" applyAlignment="1">
      <alignment horizontal="left"/>
    </xf>
    <xf numFmtId="171" fontId="73" fillId="27" borderId="41" xfId="218" applyNumberFormat="1" applyFont="1" applyFill="1" applyBorder="1" applyAlignment="1">
      <alignment horizontal="center"/>
    </xf>
    <xf numFmtId="175" fontId="73" fillId="27" borderId="72" xfId="218" applyNumberFormat="1" applyFont="1" applyFill="1" applyBorder="1" applyAlignment="1">
      <alignment horizontal="center"/>
    </xf>
    <xf numFmtId="175" fontId="73" fillId="27" borderId="49" xfId="218" applyNumberFormat="1" applyFont="1" applyFill="1" applyBorder="1" applyAlignment="1">
      <alignment horizontal="center"/>
    </xf>
    <xf numFmtId="0" fontId="73" fillId="27" borderId="45" xfId="0" applyFont="1" applyFill="1" applyBorder="1" applyAlignment="1">
      <alignment horizontal="left"/>
    </xf>
    <xf numFmtId="171" fontId="73" fillId="27" borderId="7" xfId="218" applyNumberFormat="1" applyFont="1" applyFill="1" applyBorder="1" applyAlignment="1">
      <alignment horizontal="center"/>
    </xf>
    <xf numFmtId="175" fontId="73" fillId="27" borderId="48" xfId="218" applyNumberFormat="1" applyFont="1" applyFill="1" applyBorder="1" applyAlignment="1">
      <alignment horizontal="center"/>
    </xf>
    <xf numFmtId="0" fontId="74" fillId="45" borderId="46" xfId="0" applyFont="1" applyFill="1" applyBorder="1" applyAlignment="1">
      <alignment horizontal="center" wrapText="1"/>
    </xf>
    <xf numFmtId="171" fontId="73" fillId="27" borderId="49" xfId="218" applyNumberFormat="1" applyFont="1" applyFill="1" applyBorder="1" applyAlignment="1">
      <alignment horizontal="center"/>
    </xf>
    <xf numFmtId="171" fontId="73" fillId="27" borderId="48" xfId="218" applyNumberFormat="1" applyFont="1" applyFill="1" applyBorder="1" applyAlignment="1">
      <alignment horizontal="center"/>
    </xf>
    <xf numFmtId="171" fontId="74" fillId="45" borderId="73" xfId="218" applyNumberFormat="1" applyFont="1" applyFill="1" applyBorder="1" applyAlignment="1"/>
    <xf numFmtId="0" fontId="57" fillId="27" borderId="7" xfId="220" applyFont="1" applyFill="1" applyBorder="1"/>
    <xf numFmtId="0" fontId="57" fillId="27" borderId="8" xfId="220" applyFont="1" applyFill="1" applyBorder="1"/>
    <xf numFmtId="0" fontId="56" fillId="27" borderId="85" xfId="220" applyFont="1" applyFill="1" applyBorder="1"/>
    <xf numFmtId="0" fontId="57" fillId="27" borderId="47" xfId="220" applyFont="1" applyFill="1" applyBorder="1"/>
    <xf numFmtId="0" fontId="57" fillId="27" borderId="25" xfId="220" applyFont="1" applyFill="1" applyBorder="1"/>
    <xf numFmtId="0" fontId="57" fillId="27" borderId="0" xfId="220" applyFont="1" applyFill="1"/>
    <xf numFmtId="0" fontId="57" fillId="27" borderId="49" xfId="220" applyFont="1" applyFill="1" applyBorder="1"/>
    <xf numFmtId="0" fontId="57" fillId="27" borderId="25" xfId="220" applyFont="1" applyFill="1" applyBorder="1" applyAlignment="1">
      <alignment horizontal="center"/>
    </xf>
    <xf numFmtId="0" fontId="57" fillId="27" borderId="45" xfId="220" applyFont="1" applyFill="1" applyBorder="1"/>
    <xf numFmtId="0" fontId="57" fillId="27" borderId="48" xfId="220" applyFont="1" applyFill="1" applyBorder="1"/>
    <xf numFmtId="167" fontId="57" fillId="27" borderId="0" xfId="1" applyNumberFormat="1" applyFont="1" applyFill="1" applyBorder="1"/>
    <xf numFmtId="0" fontId="57" fillId="27" borderId="50" xfId="220" applyFont="1" applyFill="1" applyBorder="1" applyAlignment="1">
      <alignment horizontal="center"/>
    </xf>
    <xf numFmtId="0" fontId="57" fillId="27" borderId="51" xfId="220" applyFont="1" applyFill="1" applyBorder="1"/>
    <xf numFmtId="167" fontId="57" fillId="27" borderId="51" xfId="1" applyNumberFormat="1" applyFont="1" applyFill="1" applyBorder="1"/>
    <xf numFmtId="0" fontId="57" fillId="27" borderId="52" xfId="220" applyFont="1" applyFill="1" applyBorder="1"/>
    <xf numFmtId="0" fontId="83" fillId="0" borderId="0" xfId="0" applyFont="1"/>
    <xf numFmtId="0" fontId="85" fillId="0" borderId="7" xfId="0" applyFont="1" applyBorder="1"/>
    <xf numFmtId="0" fontId="86" fillId="0" borderId="7" xfId="0" applyFont="1" applyBorder="1"/>
    <xf numFmtId="0" fontId="85" fillId="0" borderId="0" xfId="0" applyFont="1"/>
    <xf numFmtId="0" fontId="86" fillId="0" borderId="0" xfId="0" applyFont="1"/>
    <xf numFmtId="9" fontId="81" fillId="0" borderId="21" xfId="81" applyFont="1" applyBorder="1"/>
    <xf numFmtId="0" fontId="81" fillId="27" borderId="40" xfId="0" applyFont="1" applyFill="1" applyBorder="1"/>
    <xf numFmtId="170" fontId="82" fillId="0" borderId="0" xfId="0" applyNumberFormat="1" applyFont="1" applyAlignment="1">
      <alignment horizontal="center"/>
    </xf>
    <xf numFmtId="0" fontId="82" fillId="0" borderId="40" xfId="0" applyFont="1" applyBorder="1"/>
    <xf numFmtId="0" fontId="82" fillId="0" borderId="60" xfId="0" applyFont="1" applyBorder="1"/>
    <xf numFmtId="0" fontId="82" fillId="43" borderId="41" xfId="0" applyFont="1" applyFill="1" applyBorder="1"/>
    <xf numFmtId="10" fontId="82" fillId="0" borderId="0" xfId="81" applyNumberFormat="1" applyFont="1" applyAlignment="1">
      <alignment horizontal="center"/>
    </xf>
    <xf numFmtId="0" fontId="82" fillId="27" borderId="29" xfId="0" applyFont="1" applyFill="1" applyBorder="1" applyAlignment="1">
      <alignment horizontal="left" indent="3"/>
    </xf>
    <xf numFmtId="170" fontId="82" fillId="27" borderId="3" xfId="0" applyNumberFormat="1" applyFont="1" applyFill="1" applyBorder="1" applyAlignment="1">
      <alignment horizontal="center"/>
    </xf>
    <xf numFmtId="0" fontId="83" fillId="43" borderId="29" xfId="0" applyFont="1" applyFill="1" applyBorder="1" applyAlignment="1">
      <alignment vertical="center" wrapText="1"/>
    </xf>
    <xf numFmtId="0" fontId="83" fillId="43" borderId="0" xfId="0" applyFont="1" applyFill="1" applyAlignment="1">
      <alignment vertical="center" wrapText="1"/>
    </xf>
    <xf numFmtId="0" fontId="82" fillId="43" borderId="0" xfId="0" applyFont="1" applyFill="1"/>
    <xf numFmtId="0" fontId="82" fillId="0" borderId="3" xfId="0" applyFont="1" applyBorder="1"/>
    <xf numFmtId="10" fontId="82" fillId="27" borderId="3" xfId="81" applyNumberFormat="1" applyFont="1" applyFill="1" applyBorder="1" applyAlignment="1">
      <alignment horizontal="center"/>
    </xf>
    <xf numFmtId="174" fontId="82" fillId="27" borderId="0" xfId="0" applyNumberFormat="1" applyFont="1" applyFill="1" applyAlignment="1">
      <alignment horizontal="center"/>
    </xf>
    <xf numFmtId="0" fontId="82" fillId="27" borderId="3" xfId="0" applyFont="1" applyFill="1" applyBorder="1" applyAlignment="1">
      <alignment horizontal="center"/>
    </xf>
    <xf numFmtId="0" fontId="82" fillId="0" borderId="29" xfId="0" applyFont="1" applyBorder="1"/>
    <xf numFmtId="0" fontId="82" fillId="0" borderId="29" xfId="0" applyFont="1" applyBorder="1" applyAlignment="1">
      <alignment horizontal="center"/>
    </xf>
    <xf numFmtId="0" fontId="83" fillId="43" borderId="0" xfId="0" applyFont="1" applyFill="1" applyAlignment="1">
      <alignment horizontal="center" vertical="center" wrapText="1"/>
    </xf>
    <xf numFmtId="0" fontId="82" fillId="27" borderId="29" xfId="0" applyFont="1" applyFill="1" applyBorder="1" applyAlignment="1">
      <alignment horizontal="right"/>
    </xf>
    <xf numFmtId="6" fontId="82" fillId="27" borderId="0" xfId="0" applyNumberFormat="1" applyFont="1" applyFill="1" applyAlignment="1">
      <alignment horizontal="right"/>
    </xf>
    <xf numFmtId="170" fontId="82" fillId="27" borderId="3" xfId="0" applyNumberFormat="1" applyFont="1" applyFill="1" applyBorder="1" applyAlignment="1">
      <alignment horizontal="right"/>
    </xf>
    <xf numFmtId="0" fontId="82" fillId="0" borderId="0" xfId="0" applyFont="1" applyAlignment="1">
      <alignment horizontal="right"/>
    </xf>
    <xf numFmtId="0" fontId="83" fillId="43" borderId="29" xfId="0" applyFont="1" applyFill="1" applyBorder="1" applyAlignment="1">
      <alignment horizontal="right" vertical="center" wrapText="1"/>
    </xf>
    <xf numFmtId="0" fontId="83" fillId="43" borderId="0" xfId="0" applyFont="1" applyFill="1" applyAlignment="1">
      <alignment horizontal="right" vertical="center" wrapText="1"/>
    </xf>
    <xf numFmtId="8" fontId="83" fillId="43" borderId="0" xfId="0" applyNumberFormat="1" applyFont="1" applyFill="1" applyAlignment="1">
      <alignment horizontal="right" vertical="center" wrapText="1"/>
    </xf>
    <xf numFmtId="8" fontId="83" fillId="43" borderId="0" xfId="0" applyNumberFormat="1" applyFont="1" applyFill="1" applyAlignment="1">
      <alignment horizontal="center" vertical="center" wrapText="1"/>
    </xf>
    <xf numFmtId="0" fontId="82" fillId="27" borderId="44" xfId="0" applyFont="1" applyFill="1" applyBorder="1" applyAlignment="1">
      <alignment horizontal="left" indent="3"/>
    </xf>
    <xf numFmtId="0" fontId="82" fillId="27" borderId="26" xfId="0" applyFont="1" applyFill="1" applyBorder="1" applyAlignment="1">
      <alignment horizontal="center"/>
    </xf>
    <xf numFmtId="0" fontId="81" fillId="0" borderId="0" xfId="0" applyFont="1" applyAlignment="1">
      <alignment horizontal="center"/>
    </xf>
    <xf numFmtId="0" fontId="81" fillId="0" borderId="0" xfId="0" applyFont="1" applyAlignment="1">
      <alignment horizontal="center" wrapText="1"/>
    </xf>
    <xf numFmtId="174" fontId="82" fillId="0" borderId="0" xfId="0" applyNumberFormat="1" applyFont="1"/>
    <xf numFmtId="172" fontId="82" fillId="0" borderId="0" xfId="1" applyNumberFormat="1" applyFont="1" applyFill="1"/>
    <xf numFmtId="172" fontId="82" fillId="0" borderId="0" xfId="0" applyNumberFormat="1" applyFont="1"/>
    <xf numFmtId="17" fontId="81" fillId="27" borderId="20" xfId="0" applyNumberFormat="1" applyFont="1" applyFill="1" applyBorder="1" applyAlignment="1">
      <alignment horizontal="right"/>
    </xf>
    <xf numFmtId="6" fontId="81" fillId="27" borderId="8" xfId="0" applyNumberFormat="1" applyFont="1" applyFill="1" applyBorder="1" applyAlignment="1">
      <alignment horizontal="right"/>
    </xf>
    <xf numFmtId="6" fontId="81" fillId="27" borderId="21" xfId="0" applyNumberFormat="1" applyFont="1" applyFill="1" applyBorder="1" applyAlignment="1">
      <alignment horizontal="right"/>
    </xf>
    <xf numFmtId="17" fontId="82" fillId="0" borderId="0" xfId="0" applyNumberFormat="1" applyFont="1" applyAlignment="1">
      <alignment horizontal="right"/>
    </xf>
    <xf numFmtId="174" fontId="82" fillId="0" borderId="0" xfId="0" applyNumberFormat="1" applyFont="1" applyAlignment="1">
      <alignment horizontal="right"/>
    </xf>
    <xf numFmtId="0" fontId="82" fillId="0" borderId="20" xfId="0" applyFont="1" applyBorder="1" applyAlignment="1">
      <alignment horizontal="right"/>
    </xf>
    <xf numFmtId="0" fontId="87" fillId="43" borderId="8" xfId="0" applyFont="1" applyFill="1" applyBorder="1" applyAlignment="1">
      <alignment horizontal="right" vertical="center" wrapText="1"/>
    </xf>
    <xf numFmtId="8" fontId="87" fillId="43" borderId="8" xfId="0" applyNumberFormat="1" applyFont="1" applyFill="1" applyBorder="1" applyAlignment="1">
      <alignment horizontal="right" vertical="center" wrapText="1"/>
    </xf>
    <xf numFmtId="0" fontId="83" fillId="43" borderId="8" xfId="0" applyFont="1" applyFill="1" applyBorder="1" applyAlignment="1">
      <alignment horizontal="right" vertical="center" wrapText="1"/>
    </xf>
    <xf numFmtId="0" fontId="82" fillId="0" borderId="21" xfId="0" applyFont="1" applyBorder="1" applyAlignment="1">
      <alignment horizontal="right"/>
    </xf>
    <xf numFmtId="8" fontId="83" fillId="43" borderId="0" xfId="0" applyNumberFormat="1" applyFont="1" applyFill="1" applyAlignment="1">
      <alignment vertical="center" wrapText="1"/>
    </xf>
    <xf numFmtId="0" fontId="87" fillId="43" borderId="0" xfId="0" applyFont="1" applyFill="1" applyAlignment="1">
      <alignment horizontal="right" vertical="center" wrapText="1"/>
    </xf>
    <xf numFmtId="8" fontId="87" fillId="43" borderId="0" xfId="0" applyNumberFormat="1" applyFont="1" applyFill="1" applyAlignment="1">
      <alignment horizontal="center" vertical="center" wrapText="1"/>
    </xf>
    <xf numFmtId="0" fontId="33" fillId="27" borderId="53" xfId="87" applyFont="1" applyFill="1" applyBorder="1" applyAlignment="1">
      <alignment wrapText="1"/>
    </xf>
    <xf numFmtId="2" fontId="33" fillId="27" borderId="53" xfId="87" applyNumberFormat="1" applyFont="1" applyFill="1" applyBorder="1" applyAlignment="1">
      <alignment horizontal="center" vertical="center"/>
    </xf>
    <xf numFmtId="0" fontId="33" fillId="27" borderId="55" xfId="87" applyFont="1" applyFill="1" applyBorder="1" applyAlignment="1">
      <alignment horizontal="center" vertical="center"/>
    </xf>
    <xf numFmtId="0" fontId="57" fillId="27" borderId="0" xfId="228" applyNumberFormat="1" applyFont="1" applyFill="1" applyBorder="1" applyAlignment="1">
      <alignment horizontal="center" vertical="center"/>
    </xf>
    <xf numFmtId="170" fontId="57" fillId="27" borderId="0" xfId="1" applyNumberFormat="1" applyFont="1" applyFill="1" applyBorder="1" applyAlignment="1">
      <alignment horizontal="center" vertical="center" wrapText="1"/>
    </xf>
    <xf numFmtId="170" fontId="57" fillId="27" borderId="0" xfId="228" applyNumberFormat="1" applyFont="1" applyFill="1" applyBorder="1" applyAlignment="1">
      <alignment horizontal="center" vertical="center"/>
    </xf>
    <xf numFmtId="170" fontId="57" fillId="27" borderId="0" xfId="1" applyNumberFormat="1" applyFont="1" applyFill="1" applyBorder="1" applyAlignment="1">
      <alignment horizontal="center" vertical="center"/>
    </xf>
    <xf numFmtId="9" fontId="57" fillId="27" borderId="0" xfId="229" applyFont="1" applyFill="1" applyBorder="1" applyAlignment="1">
      <alignment horizontal="center" vertical="center"/>
    </xf>
    <xf numFmtId="0" fontId="57" fillId="27" borderId="0" xfId="1" applyNumberFormat="1" applyFont="1" applyFill="1" applyBorder="1" applyAlignment="1">
      <alignment horizontal="center" vertical="center"/>
    </xf>
    <xf numFmtId="0" fontId="57" fillId="27" borderId="24" xfId="227" applyFont="1" applyFill="1" applyBorder="1" applyAlignment="1">
      <alignment horizontal="center" vertical="center"/>
    </xf>
    <xf numFmtId="0" fontId="57" fillId="27" borderId="24" xfId="227" applyFont="1" applyFill="1" applyBorder="1" applyAlignment="1">
      <alignment horizontal="left" vertical="center"/>
    </xf>
    <xf numFmtId="9" fontId="57" fillId="27" borderId="24" xfId="229" applyFont="1" applyFill="1" applyBorder="1" applyAlignment="1">
      <alignment horizontal="center" vertical="center"/>
    </xf>
    <xf numFmtId="0" fontId="57" fillId="27" borderId="24" xfId="227" applyFont="1" applyFill="1" applyBorder="1"/>
    <xf numFmtId="170" fontId="57" fillId="27" borderId="24" xfId="227" applyNumberFormat="1" applyFont="1" applyFill="1" applyBorder="1" applyAlignment="1">
      <alignment horizontal="center" vertical="center" wrapText="1"/>
    </xf>
    <xf numFmtId="0" fontId="57" fillId="27" borderId="24" xfId="228" applyNumberFormat="1" applyFont="1" applyFill="1" applyBorder="1" applyAlignment="1">
      <alignment horizontal="center" vertical="center"/>
    </xf>
    <xf numFmtId="0" fontId="57" fillId="27" borderId="24" xfId="227" applyFont="1" applyFill="1" applyBorder="1" applyAlignment="1">
      <alignment horizontal="center" vertical="center" wrapText="1"/>
    </xf>
    <xf numFmtId="170" fontId="57" fillId="27" borderId="24" xfId="1" applyNumberFormat="1" applyFont="1" applyFill="1" applyBorder="1" applyAlignment="1">
      <alignment horizontal="center" vertical="center" wrapText="1"/>
    </xf>
    <xf numFmtId="172" fontId="57" fillId="27" borderId="24" xfId="227" applyNumberFormat="1" applyFont="1" applyFill="1" applyBorder="1" applyAlignment="1">
      <alignment horizontal="center" vertical="center"/>
    </xf>
    <xf numFmtId="170" fontId="57" fillId="27" borderId="24" xfId="227" applyNumberFormat="1" applyFont="1" applyFill="1" applyBorder="1" applyAlignment="1">
      <alignment horizontal="center" vertical="center"/>
    </xf>
    <xf numFmtId="170" fontId="57" fillId="27" borderId="24" xfId="228" applyNumberFormat="1" applyFont="1" applyFill="1" applyBorder="1" applyAlignment="1">
      <alignment horizontal="center" vertical="center"/>
    </xf>
    <xf numFmtId="167" fontId="57" fillId="27" borderId="24" xfId="96" applyNumberFormat="1" applyFont="1" applyFill="1" applyBorder="1" applyAlignment="1">
      <alignment horizontal="center" vertical="center"/>
    </xf>
    <xf numFmtId="170" fontId="57" fillId="27" borderId="46" xfId="1" applyNumberFormat="1" applyFont="1" applyFill="1" applyBorder="1" applyAlignment="1">
      <alignment horizontal="center" vertical="center" wrapText="1"/>
    </xf>
    <xf numFmtId="0" fontId="57" fillId="27" borderId="0" xfId="227" applyFont="1" applyFill="1" applyAlignment="1">
      <alignment horizontal="center" vertical="center"/>
    </xf>
    <xf numFmtId="0" fontId="57" fillId="27" borderId="0" xfId="227" applyFont="1" applyFill="1" applyAlignment="1">
      <alignment horizontal="left" vertical="center"/>
    </xf>
    <xf numFmtId="0" fontId="57" fillId="27" borderId="0" xfId="227" applyFont="1" applyFill="1"/>
    <xf numFmtId="0" fontId="57" fillId="27" borderId="0" xfId="227" applyFont="1" applyFill="1" applyAlignment="1">
      <alignment horizontal="center" vertical="center" wrapText="1"/>
    </xf>
    <xf numFmtId="172" fontId="57" fillId="27" borderId="0" xfId="227" applyNumberFormat="1" applyFont="1" applyFill="1" applyAlignment="1">
      <alignment horizontal="center" vertical="center"/>
    </xf>
    <xf numFmtId="167" fontId="57" fillId="27" borderId="0" xfId="96" applyNumberFormat="1" applyFont="1" applyFill="1" applyAlignment="1">
      <alignment horizontal="center" vertical="center"/>
    </xf>
    <xf numFmtId="170" fontId="57" fillId="27" borderId="49" xfId="227" applyNumberFormat="1" applyFont="1" applyFill="1" applyBorder="1" applyAlignment="1">
      <alignment horizontal="center" vertical="center"/>
    </xf>
    <xf numFmtId="0" fontId="57" fillId="27" borderId="0" xfId="227" applyFont="1" applyFill="1" applyAlignment="1">
      <alignment horizontal="left" vertical="center" wrapText="1"/>
    </xf>
    <xf numFmtId="170" fontId="57" fillId="27" borderId="0" xfId="227" applyNumberFormat="1" applyFont="1" applyFill="1" applyAlignment="1">
      <alignment horizontal="center" vertical="center"/>
    </xf>
    <xf numFmtId="0" fontId="57" fillId="27" borderId="51" xfId="227" applyFont="1" applyFill="1" applyBorder="1" applyAlignment="1">
      <alignment horizontal="center" vertical="center"/>
    </xf>
    <xf numFmtId="0" fontId="57" fillId="27" borderId="51" xfId="227" applyFont="1" applyFill="1" applyBorder="1" applyAlignment="1">
      <alignment horizontal="left" vertical="center"/>
    </xf>
    <xf numFmtId="0" fontId="57" fillId="27" borderId="51" xfId="227" applyFont="1" applyFill="1" applyBorder="1" applyAlignment="1">
      <alignment horizontal="left" vertical="center" wrapText="1"/>
    </xf>
    <xf numFmtId="9" fontId="57" fillId="27" borderId="51" xfId="229" applyFont="1" applyFill="1" applyBorder="1" applyAlignment="1">
      <alignment horizontal="center" vertical="center"/>
    </xf>
    <xf numFmtId="170" fontId="57" fillId="27" borderId="51" xfId="1" applyNumberFormat="1" applyFont="1" applyFill="1" applyBorder="1" applyAlignment="1">
      <alignment horizontal="center" vertical="center" wrapText="1"/>
    </xf>
    <xf numFmtId="0" fontId="57" fillId="27" borderId="51" xfId="227" applyFont="1" applyFill="1" applyBorder="1"/>
    <xf numFmtId="0" fontId="57" fillId="27" borderId="51" xfId="1" applyNumberFormat="1" applyFont="1" applyFill="1" applyBorder="1" applyAlignment="1">
      <alignment horizontal="center" vertical="center"/>
    </xf>
    <xf numFmtId="0" fontId="57" fillId="27" borderId="51" xfId="228" applyNumberFormat="1" applyFont="1" applyFill="1" applyBorder="1" applyAlignment="1">
      <alignment horizontal="center" vertical="center"/>
    </xf>
    <xf numFmtId="0" fontId="57" fillId="27" borderId="51" xfId="227" applyFont="1" applyFill="1" applyBorder="1" applyAlignment="1">
      <alignment horizontal="center" vertical="center" wrapText="1"/>
    </xf>
    <xf numFmtId="170" fontId="57" fillId="27" borderId="51" xfId="1" applyNumberFormat="1" applyFont="1" applyFill="1" applyBorder="1" applyAlignment="1">
      <alignment horizontal="center" vertical="center"/>
    </xf>
    <xf numFmtId="172" fontId="57" fillId="27" borderId="51" xfId="227" applyNumberFormat="1" applyFont="1" applyFill="1" applyBorder="1" applyAlignment="1">
      <alignment horizontal="center" vertical="center"/>
    </xf>
    <xf numFmtId="170" fontId="57" fillId="27" borderId="51" xfId="227" applyNumberFormat="1" applyFont="1" applyFill="1" applyBorder="1" applyAlignment="1">
      <alignment horizontal="center" vertical="center"/>
    </xf>
    <xf numFmtId="170" fontId="57" fillId="27" borderId="51" xfId="228" applyNumberFormat="1" applyFont="1" applyFill="1" applyBorder="1" applyAlignment="1">
      <alignment horizontal="center" vertical="center"/>
    </xf>
    <xf numFmtId="167" fontId="57" fillId="27" borderId="51" xfId="96" applyNumberFormat="1" applyFont="1" applyFill="1" applyBorder="1" applyAlignment="1">
      <alignment horizontal="center" vertical="center"/>
    </xf>
    <xf numFmtId="170" fontId="57" fillId="27" borderId="52" xfId="227" applyNumberFormat="1" applyFont="1" applyFill="1" applyBorder="1" applyAlignment="1">
      <alignment horizontal="center" vertical="center"/>
    </xf>
    <xf numFmtId="0" fontId="57" fillId="27" borderId="23" xfId="227" applyFont="1" applyFill="1" applyBorder="1" applyAlignment="1">
      <alignment horizontal="center" vertical="center"/>
    </xf>
    <xf numFmtId="0" fontId="57" fillId="27" borderId="24" xfId="227" applyFont="1" applyFill="1" applyBorder="1" applyAlignment="1">
      <alignment horizontal="left" vertical="center" wrapText="1"/>
    </xf>
    <xf numFmtId="170" fontId="57" fillId="27" borderId="24" xfId="1" applyNumberFormat="1" applyFont="1" applyFill="1" applyBorder="1" applyAlignment="1">
      <alignment horizontal="center" vertical="center"/>
    </xf>
    <xf numFmtId="0" fontId="57" fillId="27" borderId="24" xfId="1" applyNumberFormat="1" applyFont="1" applyFill="1" applyBorder="1" applyAlignment="1">
      <alignment horizontal="center" vertical="center"/>
    </xf>
    <xf numFmtId="170" fontId="57" fillId="27" borderId="24" xfId="96" applyNumberFormat="1" applyFont="1" applyFill="1" applyBorder="1" applyAlignment="1">
      <alignment horizontal="center" vertical="center"/>
    </xf>
    <xf numFmtId="170" fontId="57" fillId="27" borderId="46" xfId="228" applyNumberFormat="1" applyFont="1" applyFill="1" applyBorder="1" applyAlignment="1">
      <alignment horizontal="center" vertical="center"/>
    </xf>
    <xf numFmtId="0" fontId="57" fillId="27" borderId="25" xfId="227" applyFont="1" applyFill="1" applyBorder="1" applyAlignment="1">
      <alignment horizontal="center" vertical="center"/>
    </xf>
    <xf numFmtId="170" fontId="57" fillId="27" borderId="0" xfId="96" applyNumberFormat="1" applyFont="1" applyFill="1" applyAlignment="1">
      <alignment horizontal="center" vertical="center"/>
    </xf>
    <xf numFmtId="170" fontId="57" fillId="27" borderId="49" xfId="228" applyNumberFormat="1" applyFont="1" applyFill="1" applyBorder="1" applyAlignment="1">
      <alignment horizontal="center" vertical="center"/>
    </xf>
    <xf numFmtId="173" fontId="57" fillId="27" borderId="0" xfId="227" applyNumberFormat="1" applyFont="1" applyFill="1"/>
    <xf numFmtId="0" fontId="60" fillId="27" borderId="0" xfId="227" applyFont="1" applyFill="1" applyAlignment="1">
      <alignment horizontal="center" vertical="center"/>
    </xf>
    <xf numFmtId="0" fontId="57" fillId="27" borderId="50" xfId="227" applyFont="1" applyFill="1" applyBorder="1" applyAlignment="1">
      <alignment horizontal="center" vertical="center"/>
    </xf>
    <xf numFmtId="170" fontId="57" fillId="27" borderId="51" xfId="96" applyNumberFormat="1" applyFont="1" applyFill="1" applyBorder="1" applyAlignment="1">
      <alignment horizontal="center" vertical="center"/>
    </xf>
    <xf numFmtId="170" fontId="57" fillId="27" borderId="52" xfId="228" applyNumberFormat="1" applyFont="1" applyFill="1" applyBorder="1" applyAlignment="1">
      <alignment horizontal="center" vertical="center"/>
    </xf>
    <xf numFmtId="0" fontId="56" fillId="30" borderId="84" xfId="227" applyFont="1" applyFill="1" applyBorder="1" applyAlignment="1">
      <alignment horizontal="center" vertical="center"/>
    </xf>
    <xf numFmtId="0" fontId="56" fillId="30" borderId="87" xfId="227" applyFont="1" applyFill="1" applyBorder="1" applyAlignment="1">
      <alignment horizontal="center" vertical="center" wrapText="1"/>
    </xf>
    <xf numFmtId="0" fontId="56" fillId="27" borderId="86" xfId="227" applyFont="1" applyFill="1" applyBorder="1" applyAlignment="1">
      <alignment horizontal="center" vertical="center"/>
    </xf>
    <xf numFmtId="0" fontId="56" fillId="27" borderId="51" xfId="227" applyFont="1" applyFill="1" applyBorder="1" applyAlignment="1">
      <alignment horizontal="center" vertical="center"/>
    </xf>
    <xf numFmtId="0" fontId="56" fillId="27" borderId="51" xfId="227" applyFont="1" applyFill="1" applyBorder="1" applyAlignment="1">
      <alignment horizontal="center" vertical="center" wrapText="1"/>
    </xf>
    <xf numFmtId="165" fontId="56" fillId="27" borderId="51" xfId="228" applyFont="1" applyFill="1" applyBorder="1" applyAlignment="1">
      <alignment horizontal="center" vertical="center" wrapText="1"/>
    </xf>
    <xf numFmtId="167" fontId="56" fillId="27" borderId="52" xfId="227" applyNumberFormat="1" applyFont="1" applyFill="1" applyBorder="1" applyAlignment="1">
      <alignment horizontal="center" vertical="center" wrapText="1"/>
    </xf>
    <xf numFmtId="0" fontId="56" fillId="27" borderId="81" xfId="220" applyFont="1" applyFill="1" applyBorder="1" applyAlignment="1">
      <alignment horizontal="center" vertical="center"/>
    </xf>
    <xf numFmtId="0" fontId="56" fillId="27" borderId="82" xfId="220" applyFont="1" applyFill="1" applyBorder="1" applyAlignment="1">
      <alignment horizontal="left" vertical="center"/>
    </xf>
    <xf numFmtId="0" fontId="56" fillId="27" borderId="82" xfId="220" applyFont="1" applyFill="1" applyBorder="1" applyAlignment="1">
      <alignment horizontal="center" vertical="center"/>
    </xf>
    <xf numFmtId="0" fontId="56" fillId="27" borderId="82" xfId="220" applyFont="1" applyFill="1" applyBorder="1" applyAlignment="1">
      <alignment horizontal="center" vertical="center" wrapText="1"/>
    </xf>
    <xf numFmtId="165" fontId="56" fillId="27" borderId="82" xfId="222" applyFont="1" applyFill="1" applyBorder="1" applyAlignment="1">
      <alignment horizontal="center" vertical="center"/>
    </xf>
    <xf numFmtId="0" fontId="56" fillId="27" borderId="80" xfId="220" applyFont="1" applyFill="1" applyBorder="1" applyAlignment="1">
      <alignment horizontal="center" vertical="center"/>
    </xf>
    <xf numFmtId="0" fontId="56" fillId="30" borderId="87" xfId="220" applyFont="1" applyFill="1" applyBorder="1" applyAlignment="1">
      <alignment horizontal="center" vertical="center" wrapText="1"/>
    </xf>
    <xf numFmtId="0" fontId="56" fillId="30" borderId="90" xfId="220" applyFont="1" applyFill="1" applyBorder="1" applyAlignment="1">
      <alignment vertical="center" wrapText="1"/>
    </xf>
    <xf numFmtId="0" fontId="56" fillId="27" borderId="25" xfId="220" applyFont="1" applyFill="1" applyBorder="1" applyAlignment="1">
      <alignment horizontal="center" vertical="center"/>
    </xf>
    <xf numFmtId="0" fontId="56" fillId="27" borderId="0" xfId="220" applyFont="1" applyFill="1" applyAlignment="1">
      <alignment horizontal="left" vertical="center"/>
    </xf>
    <xf numFmtId="0" fontId="56" fillId="27" borderId="0" xfId="220" applyFont="1" applyFill="1" applyAlignment="1">
      <alignment horizontal="center" vertical="center"/>
    </xf>
    <xf numFmtId="0" fontId="56" fillId="27" borderId="0" xfId="220" applyFont="1" applyFill="1" applyAlignment="1">
      <alignment horizontal="center" vertical="center" wrapText="1"/>
    </xf>
    <xf numFmtId="165" fontId="56" fillId="27" borderId="0" xfId="222" applyFont="1" applyFill="1" applyBorder="1" applyAlignment="1">
      <alignment horizontal="center" vertical="center"/>
    </xf>
    <xf numFmtId="0" fontId="56" fillId="27" borderId="49" xfId="220" applyFont="1" applyFill="1" applyBorder="1" applyAlignment="1">
      <alignment horizontal="center" vertical="center"/>
    </xf>
    <xf numFmtId="0" fontId="57" fillId="27" borderId="49" xfId="1" applyNumberFormat="1" applyFont="1" applyFill="1" applyBorder="1" applyAlignment="1">
      <alignment horizontal="center" vertical="center"/>
    </xf>
    <xf numFmtId="170" fontId="57" fillId="27" borderId="0" xfId="0" applyNumberFormat="1" applyFont="1" applyFill="1" applyAlignment="1">
      <alignment horizontal="center"/>
    </xf>
    <xf numFmtId="0" fontId="57" fillId="27" borderId="50" xfId="220" applyFont="1" applyFill="1" applyBorder="1"/>
    <xf numFmtId="170" fontId="57" fillId="27" borderId="51" xfId="220" applyNumberFormat="1" applyFont="1" applyFill="1" applyBorder="1" applyAlignment="1">
      <alignment horizontal="right"/>
    </xf>
    <xf numFmtId="167" fontId="56" fillId="27" borderId="80" xfId="220" applyNumberFormat="1" applyFont="1" applyFill="1" applyBorder="1" applyAlignment="1">
      <alignment horizontal="center" vertical="center" wrapText="1"/>
    </xf>
    <xf numFmtId="0" fontId="57" fillId="27" borderId="88" xfId="220" applyFont="1" applyFill="1" applyBorder="1" applyAlignment="1">
      <alignment horizontal="center"/>
    </xf>
    <xf numFmtId="0" fontId="57" fillId="27" borderId="66" xfId="220" applyFont="1" applyFill="1" applyBorder="1" applyAlignment="1">
      <alignment horizontal="left" vertical="center"/>
    </xf>
    <xf numFmtId="0" fontId="57" fillId="27" borderId="66" xfId="220" applyFont="1" applyFill="1" applyBorder="1" applyAlignment="1">
      <alignment horizontal="center" vertical="center"/>
    </xf>
    <xf numFmtId="9" fontId="57" fillId="27" borderId="66" xfId="81" applyFont="1" applyFill="1" applyBorder="1" applyAlignment="1">
      <alignment horizontal="center" vertical="center"/>
    </xf>
    <xf numFmtId="165" fontId="57" fillId="27" borderId="66" xfId="1" applyFont="1" applyFill="1" applyBorder="1" applyAlignment="1">
      <alignment horizontal="center" vertical="center"/>
    </xf>
    <xf numFmtId="170" fontId="57" fillId="27" borderId="66" xfId="0" applyNumberFormat="1" applyFont="1" applyFill="1" applyBorder="1" applyAlignment="1">
      <alignment horizontal="center"/>
    </xf>
    <xf numFmtId="0" fontId="81" fillId="37" borderId="20" xfId="0" applyFont="1" applyFill="1" applyBorder="1"/>
    <xf numFmtId="0" fontId="81" fillId="37" borderId="20" xfId="0" applyFont="1" applyFill="1" applyBorder="1" applyAlignment="1">
      <alignment horizontal="left" indent="1"/>
    </xf>
    <xf numFmtId="0" fontId="82" fillId="37" borderId="21" xfId="0" applyFont="1" applyFill="1" applyBorder="1"/>
    <xf numFmtId="0" fontId="81" fillId="37" borderId="40" xfId="0" applyFont="1" applyFill="1" applyBorder="1"/>
    <xf numFmtId="0" fontId="82" fillId="37" borderId="41" xfId="0" applyFont="1" applyFill="1" applyBorder="1"/>
    <xf numFmtId="0" fontId="82" fillId="37" borderId="60" xfId="0" applyFont="1" applyFill="1" applyBorder="1"/>
    <xf numFmtId="0" fontId="82" fillId="37" borderId="44" xfId="0" applyFont="1" applyFill="1" applyBorder="1"/>
    <xf numFmtId="0" fontId="82" fillId="37" borderId="7" xfId="0" applyFont="1" applyFill="1" applyBorder="1"/>
    <xf numFmtId="0" fontId="82" fillId="37" borderId="26" xfId="0" applyFont="1" applyFill="1" applyBorder="1"/>
    <xf numFmtId="0" fontId="88" fillId="0" borderId="0" xfId="0" applyFont="1" applyAlignment="1">
      <alignment wrapText="1"/>
    </xf>
    <xf numFmtId="10" fontId="62" fillId="38" borderId="29" xfId="225" applyNumberFormat="1" applyFont="1" applyFill="1" applyBorder="1" applyAlignment="1">
      <alignment horizontal="center"/>
    </xf>
    <xf numFmtId="0" fontId="0" fillId="0" borderId="18" xfId="0" applyBorder="1"/>
    <xf numFmtId="0" fontId="74" fillId="0" borderId="51" xfId="0" applyFont="1" applyBorder="1" applyAlignment="1">
      <alignment horizontal="left"/>
    </xf>
    <xf numFmtId="170" fontId="56" fillId="0" borderId="0" xfId="222" applyNumberFormat="1" applyFont="1" applyFill="1" applyAlignment="1">
      <alignment horizontal="center"/>
    </xf>
    <xf numFmtId="170" fontId="57" fillId="0" borderId="0" xfId="222" applyNumberFormat="1" applyFont="1" applyFill="1" applyAlignment="1">
      <alignment horizontal="center"/>
    </xf>
    <xf numFmtId="0" fontId="0" fillId="48" borderId="0" xfId="0" applyFill="1"/>
    <xf numFmtId="10" fontId="82" fillId="0" borderId="0" xfId="81" applyNumberFormat="1" applyFont="1" applyBorder="1"/>
    <xf numFmtId="0" fontId="81" fillId="0" borderId="3" xfId="0" applyFont="1" applyBorder="1"/>
    <xf numFmtId="0" fontId="82" fillId="0" borderId="0" xfId="0" applyFont="1" applyAlignment="1">
      <alignment horizontal="left" indent="7"/>
    </xf>
    <xf numFmtId="0" fontId="57" fillId="0" borderId="0" xfId="0" quotePrefix="1" applyFont="1" applyAlignment="1">
      <alignment vertical="top" wrapText="1"/>
    </xf>
    <xf numFmtId="0" fontId="82" fillId="0" borderId="18" xfId="0" applyFont="1" applyBorder="1" applyAlignment="1">
      <alignment wrapText="1"/>
    </xf>
    <xf numFmtId="0" fontId="81" fillId="0" borderId="20" xfId="0" applyFont="1" applyBorder="1"/>
    <xf numFmtId="0" fontId="82" fillId="0" borderId="21" xfId="0" applyFont="1" applyBorder="1"/>
    <xf numFmtId="0" fontId="82" fillId="0" borderId="44" xfId="0" applyFont="1" applyBorder="1"/>
    <xf numFmtId="0" fontId="82" fillId="0" borderId="7" xfId="0" applyFont="1" applyBorder="1"/>
    <xf numFmtId="0" fontId="82" fillId="0" borderId="7" xfId="0" applyFont="1" applyBorder="1" applyAlignment="1">
      <alignment horizontal="left" indent="7"/>
    </xf>
    <xf numFmtId="10" fontId="82" fillId="0" borderId="7" xfId="81" applyNumberFormat="1" applyFont="1" applyFill="1" applyBorder="1"/>
    <xf numFmtId="0" fontId="82" fillId="0" borderId="26" xfId="0" applyFont="1" applyBorder="1"/>
    <xf numFmtId="0" fontId="82" fillId="27" borderId="18" xfId="0" applyFont="1" applyFill="1" applyBorder="1"/>
    <xf numFmtId="0" fontId="82" fillId="0" borderId="20" xfId="0" applyFont="1" applyBorder="1"/>
    <xf numFmtId="10" fontId="82" fillId="0" borderId="21" xfId="0" applyNumberFormat="1" applyFont="1" applyBorder="1"/>
    <xf numFmtId="0" fontId="84" fillId="50" borderId="61" xfId="0" applyFont="1" applyFill="1" applyBorder="1" applyAlignment="1">
      <alignment horizontal="left"/>
    </xf>
    <xf numFmtId="0" fontId="75" fillId="49" borderId="23" xfId="0" applyFont="1" applyFill="1" applyBorder="1" applyAlignment="1">
      <alignment horizontal="center"/>
    </xf>
    <xf numFmtId="175" fontId="74" fillId="49" borderId="73" xfId="218" applyNumberFormat="1" applyFont="1" applyFill="1" applyBorder="1" applyAlignment="1">
      <alignment horizontal="center"/>
    </xf>
    <xf numFmtId="0" fontId="74" fillId="50" borderId="61" xfId="0" applyFont="1" applyFill="1" applyBorder="1" applyAlignment="1">
      <alignment horizontal="left"/>
    </xf>
    <xf numFmtId="0" fontId="75" fillId="49" borderId="23" xfId="0" applyFont="1" applyFill="1" applyBorder="1"/>
    <xf numFmtId="0" fontId="74" fillId="49" borderId="46" xfId="0" applyFont="1" applyFill="1" applyBorder="1" applyAlignment="1">
      <alignment horizontal="center" wrapText="1"/>
    </xf>
    <xf numFmtId="0" fontId="74" fillId="45" borderId="82" xfId="0" applyFont="1" applyFill="1" applyBorder="1" applyAlignment="1">
      <alignment horizontal="center" wrapText="1"/>
    </xf>
    <xf numFmtId="0" fontId="74" fillId="0" borderId="0" xfId="0" applyFont="1"/>
    <xf numFmtId="171" fontId="74" fillId="49" borderId="62" xfId="218" applyNumberFormat="1" applyFont="1" applyFill="1" applyBorder="1" applyAlignment="1"/>
    <xf numFmtId="0" fontId="74" fillId="49" borderId="91" xfId="0" applyFont="1" applyFill="1" applyBorder="1" applyAlignment="1">
      <alignment horizontal="center" wrapText="1"/>
    </xf>
    <xf numFmtId="175" fontId="73" fillId="27" borderId="75" xfId="218" applyNumberFormat="1" applyFont="1" applyFill="1" applyBorder="1" applyAlignment="1">
      <alignment horizontal="center"/>
    </xf>
    <xf numFmtId="175" fontId="74" fillId="49" borderId="92" xfId="218" applyNumberFormat="1" applyFont="1" applyFill="1" applyBorder="1" applyAlignment="1">
      <alignment horizontal="center"/>
    </xf>
    <xf numFmtId="167" fontId="56" fillId="0" borderId="0" xfId="227" applyNumberFormat="1" applyFont="1" applyAlignment="1">
      <alignment horizontal="center" vertical="center" wrapText="1"/>
    </xf>
    <xf numFmtId="170" fontId="57" fillId="27" borderId="24" xfId="227" applyNumberFormat="1" applyFont="1" applyFill="1" applyBorder="1"/>
    <xf numFmtId="170" fontId="57" fillId="27" borderId="0" xfId="227" applyNumberFormat="1" applyFont="1" applyFill="1"/>
    <xf numFmtId="170" fontId="57" fillId="27" borderId="51" xfId="227" applyNumberFormat="1" applyFont="1" applyFill="1" applyBorder="1"/>
    <xf numFmtId="0" fontId="90" fillId="0" borderId="0" xfId="227" applyFont="1"/>
    <xf numFmtId="9" fontId="57" fillId="0" borderId="0" xfId="81" applyFont="1" applyFill="1" applyBorder="1" applyAlignment="1">
      <alignment horizontal="center" vertical="center"/>
    </xf>
    <xf numFmtId="0" fontId="0" fillId="39" borderId="0" xfId="0" applyFill="1"/>
    <xf numFmtId="0" fontId="0" fillId="51" borderId="18" xfId="0" applyFill="1" applyBorder="1"/>
    <xf numFmtId="0" fontId="57" fillId="27" borderId="89" xfId="1" applyNumberFormat="1" applyFont="1" applyFill="1" applyBorder="1" applyAlignment="1">
      <alignment horizontal="center" vertical="center"/>
    </xf>
    <xf numFmtId="170" fontId="8" fillId="24" borderId="33" xfId="0" applyNumberFormat="1" applyFont="1" applyFill="1" applyBorder="1"/>
    <xf numFmtId="0" fontId="91" fillId="27" borderId="53" xfId="0" applyFont="1" applyFill="1" applyBorder="1" applyAlignment="1">
      <alignment vertical="center"/>
    </xf>
    <xf numFmtId="0" fontId="91" fillId="0" borderId="55" xfId="0" applyFont="1" applyBorder="1" applyAlignment="1">
      <alignment vertical="top" wrapText="1"/>
    </xf>
    <xf numFmtId="0" fontId="92" fillId="0" borderId="0" xfId="0" applyFont="1"/>
    <xf numFmtId="0" fontId="93" fillId="30" borderId="18" xfId="0" applyFont="1" applyFill="1" applyBorder="1"/>
    <xf numFmtId="0" fontId="94" fillId="27" borderId="18" xfId="0" applyFont="1" applyFill="1" applyBorder="1" applyAlignment="1">
      <alignment vertical="center"/>
    </xf>
    <xf numFmtId="0" fontId="94" fillId="27" borderId="18" xfId="0" applyFont="1" applyFill="1" applyBorder="1" applyAlignment="1">
      <alignment vertical="center" wrapText="1"/>
    </xf>
    <xf numFmtId="167" fontId="57" fillId="27" borderId="51" xfId="1" applyNumberFormat="1" applyFont="1" applyFill="1" applyBorder="1" applyAlignment="1">
      <alignment horizontal="center" vertical="center"/>
    </xf>
    <xf numFmtId="167" fontId="57" fillId="27" borderId="52" xfId="1" applyNumberFormat="1" applyFont="1" applyFill="1" applyBorder="1" applyAlignment="1">
      <alignment horizontal="center" vertical="center"/>
    </xf>
    <xf numFmtId="167" fontId="57" fillId="27" borderId="51" xfId="1" applyNumberFormat="1" applyFont="1" applyFill="1" applyBorder="1" applyAlignment="1">
      <alignment horizontal="center"/>
    </xf>
    <xf numFmtId="167" fontId="57" fillId="27" borderId="51" xfId="222" applyNumberFormat="1" applyFont="1" applyFill="1" applyBorder="1" applyAlignment="1">
      <alignment horizontal="center"/>
    </xf>
    <xf numFmtId="167" fontId="57" fillId="27" borderId="52" xfId="222" applyNumberFormat="1" applyFont="1" applyFill="1" applyBorder="1" applyAlignment="1">
      <alignment horizontal="center"/>
    </xf>
    <xf numFmtId="0" fontId="95" fillId="30" borderId="56" xfId="0" applyFont="1" applyFill="1" applyBorder="1" applyAlignment="1">
      <alignment horizontal="center" vertical="center"/>
    </xf>
    <xf numFmtId="0" fontId="95" fillId="0" borderId="44" xfId="0" applyFont="1" applyBorder="1" applyAlignment="1">
      <alignment horizontal="center" vertical="center"/>
    </xf>
    <xf numFmtId="10" fontId="95" fillId="0" borderId="7" xfId="81" applyNumberFormat="1" applyFont="1" applyFill="1" applyBorder="1" applyAlignment="1">
      <alignment horizontal="center" vertical="center"/>
    </xf>
    <xf numFmtId="0" fontId="95" fillId="0" borderId="26" xfId="0" applyFont="1" applyBorder="1" applyAlignment="1">
      <alignment horizontal="center" vertical="center"/>
    </xf>
    <xf numFmtId="9" fontId="92" fillId="0" borderId="18" xfId="81" applyFont="1" applyBorder="1" applyAlignment="1">
      <alignment horizontal="center"/>
    </xf>
    <xf numFmtId="9" fontId="96" fillId="0" borderId="18" xfId="81" applyFont="1" applyFill="1" applyBorder="1" applyAlignment="1">
      <alignment horizontal="center"/>
    </xf>
    <xf numFmtId="9" fontId="96" fillId="0" borderId="18" xfId="81" applyFont="1" applyBorder="1" applyAlignment="1">
      <alignment horizontal="center"/>
    </xf>
    <xf numFmtId="0" fontId="97" fillId="33" borderId="32" xfId="0" applyFont="1" applyFill="1" applyBorder="1"/>
    <xf numFmtId="165" fontId="97" fillId="33" borderId="33" xfId="1" applyFont="1" applyFill="1" applyBorder="1"/>
    <xf numFmtId="0" fontId="96" fillId="33" borderId="25" xfId="0" applyFont="1" applyFill="1" applyBorder="1" applyAlignment="1">
      <alignment horizontal="left" indent="1"/>
    </xf>
    <xf numFmtId="167" fontId="96" fillId="41" borderId="49" xfId="1" applyNumberFormat="1" applyFont="1" applyFill="1" applyBorder="1"/>
    <xf numFmtId="0" fontId="99" fillId="45" borderId="0" xfId="0" applyFont="1" applyFill="1" applyAlignment="1">
      <alignment horizontal="left" wrapText="1"/>
    </xf>
    <xf numFmtId="171" fontId="99" fillId="45" borderId="0" xfId="0" applyNumberFormat="1" applyFont="1" applyFill="1" applyAlignment="1">
      <alignment horizontal="left"/>
    </xf>
    <xf numFmtId="170" fontId="56" fillId="0" borderId="0" xfId="0" applyNumberFormat="1" applyFont="1" applyAlignment="1">
      <alignment horizontal="center"/>
    </xf>
    <xf numFmtId="0" fontId="71" fillId="0" borderId="34" xfId="0" applyFont="1" applyBorder="1" applyAlignment="1">
      <alignment horizontal="left" indent="5"/>
    </xf>
    <xf numFmtId="0" fontId="43" fillId="0" borderId="35" xfId="0" applyFont="1" applyBorder="1"/>
    <xf numFmtId="170" fontId="72" fillId="0" borderId="64" xfId="1" applyNumberFormat="1" applyFont="1" applyFill="1" applyBorder="1" applyAlignment="1">
      <alignment horizontal="center" vertical="center"/>
    </xf>
    <xf numFmtId="0" fontId="96" fillId="33" borderId="50" xfId="0" applyFont="1" applyFill="1" applyBorder="1" applyAlignment="1">
      <alignment horizontal="left" indent="1"/>
    </xf>
    <xf numFmtId="167" fontId="96" fillId="41" borderId="52" xfId="1" applyNumberFormat="1" applyFont="1" applyFill="1" applyBorder="1"/>
    <xf numFmtId="170" fontId="57" fillId="0" borderId="0" xfId="1" applyNumberFormat="1" applyFont="1" applyFill="1" applyBorder="1" applyAlignment="1">
      <alignment horizontal="left" vertical="center" wrapText="1"/>
    </xf>
    <xf numFmtId="170" fontId="56" fillId="0" borderId="0" xfId="228" applyNumberFormat="1" applyFont="1" applyAlignment="1">
      <alignment horizontal="center" vertical="center"/>
    </xf>
    <xf numFmtId="2" fontId="33" fillId="27" borderId="55" xfId="87" applyNumberFormat="1" applyFont="1" applyFill="1" applyBorder="1"/>
    <xf numFmtId="167" fontId="57" fillId="27" borderId="0" xfId="1" applyNumberFormat="1" applyFont="1" applyFill="1" applyBorder="1" applyAlignment="1">
      <alignment horizontal="center" vertical="center"/>
    </xf>
    <xf numFmtId="167" fontId="57" fillId="27" borderId="66" xfId="1" applyNumberFormat="1" applyFont="1" applyFill="1" applyBorder="1" applyAlignment="1">
      <alignment horizontal="center" vertical="center"/>
    </xf>
    <xf numFmtId="167" fontId="57" fillId="27" borderId="49" xfId="1" applyNumberFormat="1" applyFont="1" applyFill="1" applyBorder="1" applyAlignment="1">
      <alignment horizontal="center" vertical="center"/>
    </xf>
    <xf numFmtId="0" fontId="8" fillId="0" borderId="21" xfId="43" applyFont="1" applyBorder="1" applyAlignment="1">
      <alignment horizontal="center" vertical="center" wrapText="1"/>
    </xf>
    <xf numFmtId="0" fontId="100" fillId="0" borderId="18" xfId="0" applyFont="1" applyBorder="1" applyAlignment="1" applyProtection="1">
      <alignment horizontal="center" vertical="center"/>
      <protection locked="0"/>
    </xf>
    <xf numFmtId="0" fontId="100" fillId="0" borderId="21" xfId="43" applyFont="1" applyBorder="1" applyAlignment="1">
      <alignment horizontal="center" vertical="center" wrapText="1"/>
    </xf>
    <xf numFmtId="167" fontId="100" fillId="0" borderId="21" xfId="1" applyNumberFormat="1" applyFont="1" applyFill="1" applyBorder="1" applyAlignment="1" applyProtection="1">
      <alignment horizontal="center" vertical="center" wrapText="1"/>
    </xf>
    <xf numFmtId="167" fontId="100" fillId="0" borderId="18" xfId="1" applyNumberFormat="1" applyFont="1" applyFill="1" applyBorder="1" applyAlignment="1" applyProtection="1">
      <alignment horizontal="center" vertical="center" wrapText="1"/>
      <protection locked="0"/>
    </xf>
    <xf numFmtId="167" fontId="101" fillId="0" borderId="21" xfId="0" applyNumberFormat="1" applyFont="1" applyBorder="1" applyAlignment="1" applyProtection="1">
      <alignment vertical="center"/>
      <protection locked="0"/>
    </xf>
    <xf numFmtId="9" fontId="100" fillId="0" borderId="21" xfId="81" applyFont="1" applyFill="1" applyBorder="1" applyAlignment="1" applyProtection="1">
      <alignment horizontal="center" vertical="center" wrapText="1"/>
    </xf>
    <xf numFmtId="9" fontId="100" fillId="0" borderId="18" xfId="81" applyFont="1" applyFill="1" applyBorder="1" applyAlignment="1" applyProtection="1">
      <alignment horizontal="center" vertical="center" wrapText="1"/>
    </xf>
    <xf numFmtId="167" fontId="101" fillId="0" borderId="18" xfId="0" applyNumberFormat="1" applyFont="1" applyBorder="1" applyAlignment="1" applyProtection="1">
      <alignment vertical="center"/>
      <protection locked="0"/>
    </xf>
    <xf numFmtId="10" fontId="8" fillId="0" borderId="0" xfId="81" applyNumberFormat="1" applyFont="1" applyFill="1" applyBorder="1"/>
    <xf numFmtId="0" fontId="82" fillId="0" borderId="40" xfId="0" applyFont="1" applyBorder="1" applyAlignment="1">
      <alignment horizontal="center"/>
    </xf>
    <xf numFmtId="0" fontId="82" fillId="0" borderId="41" xfId="0" applyFont="1" applyBorder="1" applyAlignment="1">
      <alignment horizontal="center"/>
    </xf>
    <xf numFmtId="0" fontId="82" fillId="0" borderId="60" xfId="0" applyFont="1" applyBorder="1" applyAlignment="1">
      <alignment horizontal="center"/>
    </xf>
    <xf numFmtId="0" fontId="81" fillId="27" borderId="44" xfId="0" applyFont="1" applyFill="1" applyBorder="1" applyAlignment="1">
      <alignment horizontal="center"/>
    </xf>
    <xf numFmtId="0" fontId="81" fillId="27" borderId="7" xfId="0" applyFont="1" applyFill="1" applyBorder="1" applyAlignment="1">
      <alignment horizontal="center"/>
    </xf>
    <xf numFmtId="0" fontId="81" fillId="27" borderId="26" xfId="0" applyFont="1" applyFill="1" applyBorder="1" applyAlignment="1">
      <alignment horizontal="center"/>
    </xf>
    <xf numFmtId="0" fontId="8" fillId="0" borderId="18" xfId="0" applyFont="1" applyBorder="1" applyAlignment="1">
      <alignment horizontal="center" vertical="center"/>
    </xf>
    <xf numFmtId="167" fontId="33" fillId="0" borderId="21" xfId="0" applyNumberFormat="1" applyFont="1" applyBorder="1" applyAlignment="1">
      <alignment vertical="center"/>
    </xf>
    <xf numFmtId="167" fontId="33" fillId="0" borderId="20" xfId="0" applyNumberFormat="1" applyFont="1" applyBorder="1" applyAlignment="1">
      <alignment vertical="center"/>
    </xf>
    <xf numFmtId="0" fontId="8" fillId="0" borderId="21" xfId="43" applyFont="1" applyBorder="1" applyAlignment="1">
      <alignment horizontal="left" vertical="center"/>
    </xf>
    <xf numFmtId="170" fontId="0" fillId="30" borderId="0" xfId="0" applyNumberFormat="1" applyFill="1"/>
    <xf numFmtId="0" fontId="81" fillId="33" borderId="18" xfId="0" applyFont="1" applyFill="1" applyBorder="1"/>
    <xf numFmtId="0" fontId="80" fillId="0" borderId="18" xfId="75" applyFont="1" applyBorder="1"/>
    <xf numFmtId="9" fontId="83" fillId="0" borderId="18" xfId="81" applyFont="1" applyBorder="1"/>
    <xf numFmtId="0" fontId="57" fillId="0" borderId="25" xfId="220" applyFont="1" applyBorder="1" applyAlignment="1">
      <alignment horizontal="center"/>
    </xf>
    <xf numFmtId="0" fontId="57" fillId="0" borderId="0" xfId="220" applyFont="1" applyAlignment="1">
      <alignment horizontal="left"/>
    </xf>
    <xf numFmtId="167" fontId="57" fillId="0" borderId="0" xfId="1" applyNumberFormat="1" applyFont="1" applyFill="1" applyBorder="1"/>
    <xf numFmtId="0" fontId="57" fillId="0" borderId="49" xfId="220" applyFont="1" applyBorder="1" applyAlignment="1">
      <alignment horizontal="left"/>
    </xf>
    <xf numFmtId="0" fontId="31" fillId="0" borderId="0" xfId="227" applyFont="1" applyAlignment="1">
      <alignment horizontal="center"/>
    </xf>
    <xf numFmtId="0" fontId="82" fillId="0" borderId="0" xfId="227" applyFont="1"/>
    <xf numFmtId="0" fontId="102" fillId="0" borderId="0" xfId="227" applyFont="1"/>
    <xf numFmtId="0" fontId="57" fillId="27" borderId="0" xfId="227" applyFont="1" applyFill="1" applyAlignment="1">
      <alignment vertical="center" wrapText="1"/>
    </xf>
    <xf numFmtId="0" fontId="103" fillId="0" borderId="0" xfId="220" applyFont="1" applyAlignment="1">
      <alignment horizontal="center" vertical="center"/>
    </xf>
    <xf numFmtId="0" fontId="103" fillId="0" borderId="66" xfId="220" applyFont="1" applyBorder="1" applyAlignment="1">
      <alignment horizontal="center" vertical="center"/>
    </xf>
    <xf numFmtId="170" fontId="57" fillId="27" borderId="0" xfId="220" applyNumberFormat="1" applyFont="1" applyFill="1" applyAlignment="1">
      <alignment horizontal="right"/>
    </xf>
    <xf numFmtId="167" fontId="57" fillId="27" borderId="0" xfId="220" applyNumberFormat="1" applyFont="1" applyFill="1" applyAlignment="1">
      <alignment horizontal="center"/>
    </xf>
    <xf numFmtId="167" fontId="57" fillId="27" borderId="0" xfId="222" applyNumberFormat="1" applyFont="1" applyFill="1" applyBorder="1" applyAlignment="1">
      <alignment horizontal="center"/>
    </xf>
    <xf numFmtId="0" fontId="57" fillId="27" borderId="50" xfId="220" applyFont="1" applyFill="1" applyBorder="1" applyAlignment="1">
      <alignment horizontal="center" vertical="center"/>
    </xf>
    <xf numFmtId="0" fontId="57" fillId="27" borderId="51" xfId="220" applyFont="1" applyFill="1" applyBorder="1" applyAlignment="1">
      <alignment horizontal="left" vertical="center"/>
    </xf>
    <xf numFmtId="0" fontId="57" fillId="27" borderId="51" xfId="220" applyFont="1" applyFill="1" applyBorder="1" applyAlignment="1">
      <alignment horizontal="center" vertical="center"/>
    </xf>
    <xf numFmtId="9" fontId="57" fillId="27" borderId="51" xfId="81" applyFont="1" applyFill="1" applyBorder="1" applyAlignment="1">
      <alignment horizontal="center" vertical="center"/>
    </xf>
    <xf numFmtId="165" fontId="57" fillId="27" borderId="51" xfId="1" applyFont="1" applyFill="1" applyBorder="1" applyAlignment="1">
      <alignment horizontal="center" vertical="center"/>
    </xf>
    <xf numFmtId="170" fontId="57" fillId="27" borderId="51" xfId="0" applyNumberFormat="1" applyFont="1" applyFill="1" applyBorder="1" applyAlignment="1">
      <alignment horizontal="center"/>
    </xf>
    <xf numFmtId="0" fontId="31" fillId="0" borderId="0" xfId="220" applyFont="1" applyAlignment="1">
      <alignment horizontal="center" vertical="center"/>
    </xf>
    <xf numFmtId="0" fontId="78" fillId="27" borderId="53" xfId="0" applyFont="1" applyFill="1" applyBorder="1" applyAlignment="1">
      <alignment horizontal="center"/>
    </xf>
    <xf numFmtId="0" fontId="78" fillId="27" borderId="55" xfId="0" applyFont="1" applyFill="1" applyBorder="1" applyAlignment="1">
      <alignment horizontal="center"/>
    </xf>
    <xf numFmtId="0" fontId="80" fillId="0" borderId="44" xfId="0" applyFont="1" applyBorder="1" applyAlignment="1">
      <alignment horizontal="left" vertical="top" wrapText="1"/>
    </xf>
    <xf numFmtId="0" fontId="80" fillId="0" borderId="26" xfId="0" applyFont="1" applyBorder="1" applyAlignment="1">
      <alignment horizontal="left" vertical="top" wrapText="1"/>
    </xf>
    <xf numFmtId="0" fontId="82" fillId="0" borderId="0" xfId="0" applyFont="1" applyAlignment="1">
      <alignment horizontal="center"/>
    </xf>
    <xf numFmtId="0" fontId="81" fillId="32" borderId="20" xfId="0" applyFont="1" applyFill="1" applyBorder="1" applyAlignment="1">
      <alignment horizontal="left"/>
    </xf>
    <xf numFmtId="0" fontId="81" fillId="32" borderId="21" xfId="0" applyFont="1" applyFill="1" applyBorder="1" applyAlignment="1">
      <alignment horizontal="left"/>
    </xf>
    <xf numFmtId="0" fontId="95" fillId="30" borderId="53" xfId="0" applyFont="1" applyFill="1" applyBorder="1" applyAlignment="1">
      <alignment horizontal="center" vertical="center"/>
    </xf>
    <xf numFmtId="0" fontId="95" fillId="30" borderId="55" xfId="0" applyFont="1" applyFill="1" applyBorder="1" applyAlignment="1">
      <alignment horizontal="center" vertical="center"/>
    </xf>
    <xf numFmtId="0" fontId="56" fillId="27" borderId="25" xfId="220" applyFont="1" applyFill="1" applyBorder="1" applyAlignment="1">
      <alignment horizontal="center"/>
    </xf>
    <xf numFmtId="0" fontId="56" fillId="27" borderId="0" xfId="220" applyFont="1" applyFill="1" applyAlignment="1">
      <alignment horizontal="center"/>
    </xf>
    <xf numFmtId="0" fontId="56" fillId="27" borderId="49" xfId="220" applyFont="1" applyFill="1" applyBorder="1" applyAlignment="1">
      <alignment horizontal="center"/>
    </xf>
    <xf numFmtId="0" fontId="0" fillId="37" borderId="23" xfId="0" applyFill="1" applyBorder="1" applyAlignment="1">
      <alignment horizontal="center"/>
    </xf>
    <xf numFmtId="0" fontId="0" fillId="37" borderId="24" xfId="0" applyFill="1" applyBorder="1" applyAlignment="1">
      <alignment horizontal="center"/>
    </xf>
    <xf numFmtId="0" fontId="0" fillId="37" borderId="46" xfId="0" applyFill="1" applyBorder="1" applyAlignment="1">
      <alignment horizontal="center"/>
    </xf>
    <xf numFmtId="0" fontId="74" fillId="0" borderId="0" xfId="0" applyFont="1" applyAlignment="1">
      <alignment horizontal="left"/>
    </xf>
    <xf numFmtId="0" fontId="98" fillId="0" borderId="0" xfId="0" applyFont="1" applyAlignment="1">
      <alignment horizontal="left"/>
    </xf>
    <xf numFmtId="0" fontId="57" fillId="0" borderId="0" xfId="0" applyFont="1" applyAlignment="1">
      <alignment horizontal="center" vertical="center" wrapText="1"/>
    </xf>
    <xf numFmtId="0" fontId="57" fillId="37" borderId="74" xfId="227" applyFont="1" applyFill="1" applyBorder="1" applyAlignment="1">
      <alignment horizontal="center" vertical="center" wrapText="1"/>
    </xf>
    <xf numFmtId="0" fontId="57" fillId="37" borderId="75" xfId="227" applyFont="1" applyFill="1" applyBorder="1" applyAlignment="1">
      <alignment horizontal="center" vertical="center" wrapText="1"/>
    </xf>
    <xf numFmtId="0" fontId="57" fillId="37" borderId="86" xfId="227" applyFont="1" applyFill="1" applyBorder="1" applyAlignment="1">
      <alignment horizontal="center" vertical="center" wrapText="1"/>
    </xf>
    <xf numFmtId="0" fontId="56" fillId="30" borderId="53" xfId="227" applyFont="1" applyFill="1" applyBorder="1" applyAlignment="1">
      <alignment horizontal="center" vertical="center"/>
    </xf>
    <xf numFmtId="0" fontId="56" fillId="30" borderId="54" xfId="227" applyFont="1" applyFill="1" applyBorder="1" applyAlignment="1">
      <alignment horizontal="center" vertical="center"/>
    </xf>
    <xf numFmtId="0" fontId="56" fillId="30" borderId="83" xfId="227" applyFont="1" applyFill="1" applyBorder="1" applyAlignment="1">
      <alignment horizontal="center" vertical="center"/>
    </xf>
    <xf numFmtId="0" fontId="57" fillId="37" borderId="74" xfId="227" applyFont="1" applyFill="1" applyBorder="1" applyAlignment="1">
      <alignment horizontal="center" vertical="center"/>
    </xf>
    <xf numFmtId="0" fontId="57" fillId="37" borderId="75" xfId="227" applyFont="1" applyFill="1" applyBorder="1" applyAlignment="1">
      <alignment horizontal="center" vertical="center"/>
    </xf>
    <xf numFmtId="0" fontId="57" fillId="37" borderId="86" xfId="227" applyFont="1" applyFill="1" applyBorder="1" applyAlignment="1">
      <alignment horizontal="center" vertical="center"/>
    </xf>
    <xf numFmtId="0" fontId="56" fillId="30" borderId="84" xfId="227" applyFont="1" applyFill="1" applyBorder="1" applyAlignment="1">
      <alignment horizontal="center" vertical="center" wrapText="1"/>
    </xf>
    <xf numFmtId="0" fontId="56" fillId="30" borderId="55" xfId="227" applyFont="1" applyFill="1" applyBorder="1" applyAlignment="1">
      <alignment horizontal="center" vertical="center" wrapText="1"/>
    </xf>
    <xf numFmtId="0" fontId="56" fillId="30" borderId="84" xfId="227" applyFont="1" applyFill="1" applyBorder="1" applyAlignment="1">
      <alignment horizontal="center" vertical="center"/>
    </xf>
    <xf numFmtId="0" fontId="56" fillId="30" borderId="83" xfId="227" applyFont="1" applyFill="1" applyBorder="1" applyAlignment="1">
      <alignment horizontal="center" vertical="center" wrapText="1"/>
    </xf>
    <xf numFmtId="8" fontId="83" fillId="43" borderId="0" xfId="0" applyNumberFormat="1" applyFont="1" applyFill="1" applyAlignment="1">
      <alignment horizontal="right" vertical="center" wrapText="1"/>
    </xf>
    <xf numFmtId="0" fontId="81" fillId="0" borderId="0" xfId="0" applyFont="1" applyAlignment="1">
      <alignment horizontal="center"/>
    </xf>
    <xf numFmtId="0" fontId="83" fillId="43" borderId="0" xfId="0" applyFont="1" applyFill="1" applyAlignment="1">
      <alignment horizontal="center" vertical="center" wrapText="1"/>
    </xf>
    <xf numFmtId="0" fontId="83" fillId="43" borderId="3" xfId="0" applyFont="1" applyFill="1" applyBorder="1" applyAlignment="1">
      <alignment horizontal="center" vertical="center" wrapText="1"/>
    </xf>
    <xf numFmtId="8" fontId="83" fillId="43" borderId="3" xfId="0" applyNumberFormat="1" applyFont="1" applyFill="1" applyBorder="1" applyAlignment="1">
      <alignment horizontal="right" vertical="center" wrapText="1"/>
    </xf>
    <xf numFmtId="8" fontId="83" fillId="43" borderId="0" xfId="0" applyNumberFormat="1" applyFont="1" applyFill="1" applyAlignment="1">
      <alignment horizontal="center" vertical="center" wrapText="1"/>
    </xf>
    <xf numFmtId="8" fontId="87" fillId="43" borderId="8" xfId="0" applyNumberFormat="1" applyFont="1" applyFill="1" applyBorder="1" applyAlignment="1">
      <alignment horizontal="right" vertical="center" wrapText="1"/>
    </xf>
    <xf numFmtId="8" fontId="83" fillId="43" borderId="7" xfId="0" applyNumberFormat="1" applyFont="1" applyFill="1" applyBorder="1" applyAlignment="1">
      <alignment horizontal="right" vertical="center" wrapText="1"/>
    </xf>
    <xf numFmtId="8" fontId="83" fillId="43" borderId="8" xfId="0" applyNumberFormat="1" applyFont="1" applyFill="1" applyBorder="1" applyAlignment="1">
      <alignment horizontal="right" vertical="center" wrapText="1"/>
    </xf>
    <xf numFmtId="0" fontId="87" fillId="37" borderId="40" xfId="0" applyFont="1" applyFill="1" applyBorder="1" applyAlignment="1">
      <alignment horizontal="center" vertical="center" wrapText="1"/>
    </xf>
    <xf numFmtId="0" fontId="87" fillId="37" borderId="41" xfId="0" applyFont="1" applyFill="1" applyBorder="1" applyAlignment="1">
      <alignment horizontal="center" vertical="center" wrapText="1"/>
    </xf>
    <xf numFmtId="0" fontId="87" fillId="37" borderId="60" xfId="0" applyFont="1" applyFill="1" applyBorder="1" applyAlignment="1">
      <alignment horizontal="center" vertical="center" wrapText="1"/>
    </xf>
    <xf numFmtId="0" fontId="87" fillId="37" borderId="29" xfId="0" applyFont="1" applyFill="1" applyBorder="1" applyAlignment="1">
      <alignment horizontal="center" vertical="center" wrapText="1"/>
    </xf>
    <xf numFmtId="0" fontId="87" fillId="37" borderId="0" xfId="0" applyFont="1" applyFill="1" applyAlignment="1">
      <alignment horizontal="center" vertical="center" wrapText="1"/>
    </xf>
    <xf numFmtId="0" fontId="87" fillId="37" borderId="3" xfId="0" applyFont="1" applyFill="1" applyBorder="1" applyAlignment="1">
      <alignment horizontal="center" vertical="center" wrapText="1"/>
    </xf>
    <xf numFmtId="0" fontId="87" fillId="43" borderId="7" xfId="0" applyFont="1" applyFill="1" applyBorder="1" applyAlignment="1">
      <alignment horizontal="center" vertical="center" wrapText="1"/>
    </xf>
    <xf numFmtId="0" fontId="87" fillId="43" borderId="44" xfId="0" applyFont="1" applyFill="1" applyBorder="1" applyAlignment="1">
      <alignment horizontal="center" vertical="center" wrapText="1"/>
    </xf>
    <xf numFmtId="0" fontId="87" fillId="43" borderId="26" xfId="0" applyFont="1" applyFill="1" applyBorder="1" applyAlignment="1">
      <alignment horizontal="center" vertical="center" wrapText="1"/>
    </xf>
    <xf numFmtId="8" fontId="83" fillId="43" borderId="26" xfId="0" applyNumberFormat="1" applyFont="1" applyFill="1" applyBorder="1" applyAlignment="1">
      <alignment horizontal="right" vertical="center" wrapText="1"/>
    </xf>
    <xf numFmtId="8" fontId="83" fillId="43" borderId="21" xfId="0" applyNumberFormat="1" applyFont="1" applyFill="1" applyBorder="1" applyAlignment="1">
      <alignment horizontal="right" vertical="center" wrapText="1"/>
    </xf>
    <xf numFmtId="0" fontId="42" fillId="37" borderId="53" xfId="87" applyFont="1" applyFill="1" applyBorder="1" applyAlignment="1">
      <alignment horizontal="center" vertical="center"/>
    </xf>
    <xf numFmtId="0" fontId="42" fillId="37" borderId="54" xfId="87" applyFont="1" applyFill="1" applyBorder="1" applyAlignment="1">
      <alignment horizontal="center" vertical="center"/>
    </xf>
    <xf numFmtId="0" fontId="42" fillId="37" borderId="55" xfId="87" applyFont="1" applyFill="1" applyBorder="1" applyAlignment="1">
      <alignment horizontal="center" vertical="center"/>
    </xf>
    <xf numFmtId="0" fontId="79" fillId="0" borderId="30" xfId="75" applyFont="1" applyBorder="1" applyAlignment="1">
      <alignment horizontal="center" vertical="center"/>
    </xf>
    <xf numFmtId="0" fontId="79" fillId="0" borderId="31" xfId="75" applyFont="1" applyBorder="1" applyAlignment="1">
      <alignment horizontal="center" vertical="center"/>
    </xf>
    <xf numFmtId="0" fontId="79" fillId="0" borderId="63" xfId="75" applyFont="1" applyBorder="1" applyAlignment="1">
      <alignment horizontal="center" vertical="center"/>
    </xf>
    <xf numFmtId="2" fontId="42" fillId="30" borderId="23" xfId="87" applyNumberFormat="1" applyFont="1" applyFill="1" applyBorder="1" applyAlignment="1">
      <alignment horizontal="center" vertical="center" wrapText="1"/>
    </xf>
    <xf numFmtId="2" fontId="42" fillId="30" borderId="46" xfId="87" applyNumberFormat="1" applyFont="1" applyFill="1" applyBorder="1" applyAlignment="1">
      <alignment horizontal="center" vertical="center" wrapText="1"/>
    </xf>
    <xf numFmtId="2" fontId="79" fillId="0" borderId="53" xfId="87" applyNumberFormat="1" applyFont="1" applyBorder="1" applyAlignment="1">
      <alignment horizontal="center" vertical="center" wrapText="1"/>
    </xf>
    <xf numFmtId="2" fontId="79" fillId="0" borderId="55" xfId="87" applyNumberFormat="1" applyFont="1" applyBorder="1" applyAlignment="1">
      <alignment horizontal="center" vertical="center" wrapText="1"/>
    </xf>
    <xf numFmtId="0" fontId="56" fillId="30" borderId="84" xfId="220" applyFont="1" applyFill="1" applyBorder="1" applyAlignment="1">
      <alignment horizontal="center" vertical="center" wrapText="1"/>
    </xf>
    <xf numFmtId="0" fontId="56" fillId="30" borderId="55" xfId="220" applyFont="1" applyFill="1" applyBorder="1" applyAlignment="1">
      <alignment horizontal="center" vertical="center" wrapText="1"/>
    </xf>
    <xf numFmtId="0" fontId="56" fillId="30" borderId="53" xfId="220" applyFont="1" applyFill="1" applyBorder="1" applyAlignment="1">
      <alignment horizontal="center" vertical="center"/>
    </xf>
    <xf numFmtId="0" fontId="56" fillId="30" borderId="83" xfId="220" applyFont="1" applyFill="1" applyBorder="1" applyAlignment="1">
      <alignment horizontal="center" vertical="center"/>
    </xf>
    <xf numFmtId="0" fontId="56" fillId="30" borderId="84" xfId="220" applyFont="1" applyFill="1" applyBorder="1" applyAlignment="1">
      <alignment horizontal="center" vertical="center"/>
    </xf>
    <xf numFmtId="0" fontId="56" fillId="30" borderId="54" xfId="220" applyFont="1" applyFill="1" applyBorder="1" applyAlignment="1">
      <alignment horizontal="center" vertical="center"/>
    </xf>
    <xf numFmtId="0" fontId="32" fillId="0" borderId="25" xfId="0" applyFont="1" applyBorder="1" applyAlignment="1">
      <alignment horizontal="left" vertical="top" wrapText="1"/>
    </xf>
    <xf numFmtId="0" fontId="32" fillId="0" borderId="0" xfId="0" applyFont="1" applyAlignment="1">
      <alignment horizontal="left" vertical="top" wrapText="1"/>
    </xf>
    <xf numFmtId="0" fontId="35" fillId="26" borderId="29" xfId="0" applyFont="1" applyFill="1" applyBorder="1" applyAlignment="1">
      <alignment horizontal="center"/>
    </xf>
    <xf numFmtId="0" fontId="35" fillId="26" borderId="3" xfId="0" applyFont="1" applyFill="1" applyBorder="1" applyAlignment="1">
      <alignment horizontal="center"/>
    </xf>
    <xf numFmtId="0" fontId="35" fillId="26" borderId="5" xfId="0" applyFont="1" applyFill="1" applyBorder="1" applyAlignment="1">
      <alignment horizontal="center" vertical="top" wrapText="1"/>
    </xf>
    <xf numFmtId="0" fontId="35" fillId="26" borderId="6" xfId="0" applyFont="1" applyFill="1" applyBorder="1" applyAlignment="1">
      <alignment horizontal="center" vertical="top" wrapText="1"/>
    </xf>
    <xf numFmtId="0" fontId="35" fillId="26" borderId="5" xfId="0" applyFont="1" applyFill="1" applyBorder="1" applyAlignment="1">
      <alignment horizontal="center" vertical="top"/>
    </xf>
    <xf numFmtId="0" fontId="35" fillId="26" borderId="22" xfId="0" applyFont="1" applyFill="1" applyBorder="1" applyAlignment="1">
      <alignment horizontal="center" vertical="top" wrapText="1"/>
    </xf>
    <xf numFmtId="165" fontId="12" fillId="26" borderId="37" xfId="0" applyNumberFormat="1" applyFont="1" applyFill="1" applyBorder="1" applyAlignment="1">
      <alignment horizontal="center" vertical="center" wrapText="1"/>
    </xf>
    <xf numFmtId="165" fontId="12" fillId="26" borderId="40" xfId="0" applyNumberFormat="1" applyFont="1" applyFill="1" applyBorder="1" applyAlignment="1">
      <alignment horizontal="center" vertical="center" wrapText="1"/>
    </xf>
    <xf numFmtId="0" fontId="12" fillId="26" borderId="18" xfId="0" applyFont="1" applyFill="1" applyBorder="1" applyAlignment="1">
      <alignment horizontal="center" vertical="center" wrapText="1"/>
    </xf>
    <xf numFmtId="0" fontId="12" fillId="26" borderId="35" xfId="0" applyFont="1" applyFill="1" applyBorder="1" applyAlignment="1">
      <alignment horizontal="center" vertical="center" wrapText="1"/>
    </xf>
    <xf numFmtId="0" fontId="35" fillId="0" borderId="0" xfId="0" applyFont="1" applyAlignment="1">
      <alignment horizontal="center" vertical="center" wrapText="1"/>
    </xf>
    <xf numFmtId="0" fontId="10" fillId="0" borderId="0" xfId="0" applyFont="1" applyAlignment="1">
      <alignment horizontal="center"/>
    </xf>
    <xf numFmtId="0" fontId="89" fillId="0" borderId="0" xfId="0" applyFont="1" applyAlignment="1">
      <alignment horizontal="center"/>
    </xf>
    <xf numFmtId="0" fontId="12" fillId="26" borderId="30" xfId="0" applyFont="1" applyFill="1" applyBorder="1" applyAlignment="1">
      <alignment horizontal="center" vertical="center" wrapText="1"/>
    </xf>
    <xf numFmtId="0" fontId="12" fillId="26" borderId="32" xfId="0" applyFont="1" applyFill="1" applyBorder="1" applyAlignment="1">
      <alignment horizontal="center" vertical="center" wrapText="1"/>
    </xf>
    <xf numFmtId="0" fontId="12" fillId="26" borderId="34" xfId="0" applyFont="1" applyFill="1" applyBorder="1" applyAlignment="1">
      <alignment horizontal="center" vertical="center" wrapText="1"/>
    </xf>
    <xf numFmtId="0" fontId="12" fillId="26" borderId="31" xfId="0" applyFont="1" applyFill="1" applyBorder="1" applyAlignment="1">
      <alignment horizontal="center" vertical="center" wrapText="1"/>
    </xf>
    <xf numFmtId="165" fontId="12" fillId="26" borderId="31" xfId="0" applyNumberFormat="1" applyFont="1" applyFill="1" applyBorder="1" applyAlignment="1">
      <alignment horizontal="center" vertical="center" wrapText="1"/>
    </xf>
    <xf numFmtId="165" fontId="12" fillId="26" borderId="38" xfId="0" applyNumberFormat="1" applyFont="1" applyFill="1" applyBorder="1" applyAlignment="1">
      <alignment horizontal="center" vertical="center" wrapText="1"/>
    </xf>
    <xf numFmtId="165" fontId="12" fillId="26" borderId="2" xfId="0" applyNumberFormat="1" applyFont="1" applyFill="1" applyBorder="1" applyAlignment="1">
      <alignment horizontal="center" vertical="center" wrapText="1"/>
    </xf>
    <xf numFmtId="165" fontId="12" fillId="26" borderId="5" xfId="0" applyNumberFormat="1" applyFont="1" applyFill="1" applyBorder="1" applyAlignment="1">
      <alignment horizontal="center" vertical="center" wrapText="1"/>
    </xf>
    <xf numFmtId="165" fontId="12" fillId="26" borderId="6" xfId="0" applyNumberFormat="1" applyFont="1" applyFill="1" applyBorder="1" applyAlignment="1">
      <alignment horizontal="center" vertical="center" wrapText="1"/>
    </xf>
    <xf numFmtId="0" fontId="56" fillId="30" borderId="83" xfId="220" applyFont="1" applyFill="1" applyBorder="1" applyAlignment="1">
      <alignment horizontal="center" vertical="center" wrapText="1"/>
    </xf>
    <xf numFmtId="0" fontId="56" fillId="0" borderId="0" xfId="220" applyFont="1" applyAlignment="1">
      <alignment horizontal="center" vertical="center" wrapText="1"/>
    </xf>
    <xf numFmtId="165" fontId="57" fillId="24" borderId="0" xfId="1" applyFont="1" applyFill="1" applyAlignment="1">
      <alignment horizontal="center" vertical="center"/>
    </xf>
    <xf numFmtId="165" fontId="57" fillId="24" borderId="0" xfId="1" applyFont="1" applyFill="1" applyBorder="1" applyAlignment="1">
      <alignment horizontal="center" vertical="center"/>
    </xf>
    <xf numFmtId="165" fontId="57" fillId="24" borderId="66" xfId="1" applyFont="1" applyFill="1" applyBorder="1" applyAlignment="1">
      <alignment horizontal="center" vertical="center"/>
    </xf>
    <xf numFmtId="165" fontId="57" fillId="0" borderId="67" xfId="220" applyNumberFormat="1" applyFont="1" applyBorder="1" applyAlignment="1">
      <alignment horizontal="center" vertical="center"/>
    </xf>
    <xf numFmtId="0" fontId="32" fillId="0" borderId="25" xfId="0" applyFont="1" applyBorder="1" applyAlignment="1">
      <alignment horizontal="center" vertical="top" wrapText="1"/>
    </xf>
    <xf numFmtId="0" fontId="32" fillId="0" borderId="0" xfId="0" applyFont="1" applyAlignment="1">
      <alignment horizontal="center" vertical="top" wrapText="1"/>
    </xf>
    <xf numFmtId="0" fontId="32" fillId="33" borderId="20" xfId="0" applyFont="1" applyFill="1" applyBorder="1" applyAlignment="1">
      <alignment horizontal="left" vertical="center"/>
    </xf>
    <xf numFmtId="0" fontId="32" fillId="33" borderId="8" xfId="0" applyFont="1" applyFill="1" applyBorder="1" applyAlignment="1">
      <alignment horizontal="left" vertical="center"/>
    </xf>
    <xf numFmtId="0" fontId="32" fillId="33" borderId="21" xfId="0" applyFont="1" applyFill="1" applyBorder="1" applyAlignment="1">
      <alignment horizontal="left" vertical="center"/>
    </xf>
    <xf numFmtId="0" fontId="32" fillId="0" borderId="20" xfId="0" applyFont="1" applyBorder="1" applyAlignment="1">
      <alignment horizontal="left" vertical="center"/>
    </xf>
    <xf numFmtId="0" fontId="32" fillId="0" borderId="8" xfId="0" applyFont="1" applyBorder="1" applyAlignment="1">
      <alignment horizontal="left" vertical="center"/>
    </xf>
    <xf numFmtId="0" fontId="32" fillId="0" borderId="21" xfId="0" applyFont="1" applyBorder="1" applyAlignment="1">
      <alignment horizontal="left" vertical="center"/>
    </xf>
    <xf numFmtId="0" fontId="32" fillId="0" borderId="20" xfId="0" applyFont="1" applyBorder="1" applyAlignment="1">
      <alignment horizontal="left"/>
    </xf>
    <xf numFmtId="0" fontId="32" fillId="0" borderId="8" xfId="0" applyFont="1" applyBorder="1" applyAlignment="1">
      <alignment horizontal="left"/>
    </xf>
    <xf numFmtId="0" fontId="32" fillId="0" borderId="21" xfId="0" applyFont="1" applyBorder="1" applyAlignment="1">
      <alignment horizontal="left"/>
    </xf>
    <xf numFmtId="167" fontId="44" fillId="37" borderId="46" xfId="1" applyNumberFormat="1" applyFont="1" applyFill="1" applyBorder="1" applyAlignment="1">
      <alignment horizontal="center" vertical="center" wrapText="1"/>
    </xf>
    <xf numFmtId="167" fontId="44" fillId="37" borderId="49" xfId="1" applyNumberFormat="1" applyFont="1" applyFill="1" applyBorder="1" applyAlignment="1">
      <alignment horizontal="center" vertical="center" wrapText="1"/>
    </xf>
    <xf numFmtId="14" fontId="66" fillId="37" borderId="23" xfId="0" applyNumberFormat="1" applyFont="1" applyFill="1" applyBorder="1" applyAlignment="1">
      <alignment horizontal="left" vertical="center" wrapText="1"/>
    </xf>
    <xf numFmtId="14" fontId="66" fillId="37" borderId="25" xfId="0" applyNumberFormat="1" applyFont="1" applyFill="1" applyBorder="1" applyAlignment="1">
      <alignment horizontal="left" vertical="center"/>
    </xf>
    <xf numFmtId="167" fontId="44" fillId="37" borderId="24" xfId="1" applyNumberFormat="1" applyFont="1" applyFill="1" applyBorder="1" applyAlignment="1">
      <alignment horizontal="center" vertical="center" wrapText="1"/>
    </xf>
    <xf numFmtId="167" fontId="44" fillId="37" borderId="0" xfId="1" applyNumberFormat="1" applyFont="1" applyFill="1" applyBorder="1" applyAlignment="1">
      <alignment horizontal="center" vertical="center" wrapText="1"/>
    </xf>
  </cellXfs>
  <cellStyles count="240">
    <cellStyle name="20% - Accent1 2" xfId="3" xr:uid="{00000000-0005-0000-0000-000000000000}"/>
    <cellStyle name="20% - Accent2 2" xfId="4" xr:uid="{00000000-0005-0000-0000-000001000000}"/>
    <cellStyle name="20% - Accent3 2" xfId="5" xr:uid="{00000000-0005-0000-0000-000002000000}"/>
    <cellStyle name="20% - Accent3 3" xfId="140" xr:uid="{00000000-0005-0000-0000-000003000000}"/>
    <cellStyle name="20% - Accent4 2" xfId="6" xr:uid="{00000000-0005-0000-0000-000004000000}"/>
    <cellStyle name="20% - Accent5 2" xfId="7" xr:uid="{00000000-0005-0000-0000-000005000000}"/>
    <cellStyle name="20% - Accent6 2" xfId="8" xr:uid="{00000000-0005-0000-0000-000006000000}"/>
    <cellStyle name="40% - Accent1 2" xfId="9" xr:uid="{00000000-0005-0000-0000-000007000000}"/>
    <cellStyle name="40% - Accent2 2" xfId="10" xr:uid="{00000000-0005-0000-0000-000008000000}"/>
    <cellStyle name="40% - Accent3 2" xfId="11" xr:uid="{00000000-0005-0000-0000-000009000000}"/>
    <cellStyle name="40% - Accent4 2" xfId="12" xr:uid="{00000000-0005-0000-0000-00000A000000}"/>
    <cellStyle name="40% - Accent5 2" xfId="13" xr:uid="{00000000-0005-0000-0000-00000B000000}"/>
    <cellStyle name="40% - Accent6 2" xfId="14" xr:uid="{00000000-0005-0000-0000-00000C000000}"/>
    <cellStyle name="60% - Accent1 2" xfId="15" xr:uid="{00000000-0005-0000-0000-00000D000000}"/>
    <cellStyle name="60% - Accent2 2" xfId="16" xr:uid="{00000000-0005-0000-0000-00000E000000}"/>
    <cellStyle name="60% - Accent3 2" xfId="17" xr:uid="{00000000-0005-0000-0000-00000F000000}"/>
    <cellStyle name="60% - Accent4 2" xfId="18" xr:uid="{00000000-0005-0000-0000-000010000000}"/>
    <cellStyle name="60% - Accent5 2" xfId="19" xr:uid="{00000000-0005-0000-0000-000011000000}"/>
    <cellStyle name="60% - Accent6 2" xfId="20" xr:uid="{00000000-0005-0000-0000-000012000000}"/>
    <cellStyle name="Accent1 2" xfId="21" xr:uid="{00000000-0005-0000-0000-000013000000}"/>
    <cellStyle name="Accent2 2" xfId="22" xr:uid="{00000000-0005-0000-0000-000014000000}"/>
    <cellStyle name="Accent3 2" xfId="23" xr:uid="{00000000-0005-0000-0000-000015000000}"/>
    <cellStyle name="Accent4 2" xfId="24" xr:uid="{00000000-0005-0000-0000-000016000000}"/>
    <cellStyle name="Accent5 2" xfId="25" xr:uid="{00000000-0005-0000-0000-000017000000}"/>
    <cellStyle name="Accent6 2" xfId="26" xr:uid="{00000000-0005-0000-0000-000018000000}"/>
    <cellStyle name="Bad 2" xfId="27" xr:uid="{00000000-0005-0000-0000-000019000000}"/>
    <cellStyle name="Calculation 2" xfId="28" xr:uid="{00000000-0005-0000-0000-00001A000000}"/>
    <cellStyle name="Calculation 3" xfId="142" xr:uid="{00000000-0005-0000-0000-00001B000000}"/>
    <cellStyle name="Check Cell 2" xfId="29" xr:uid="{00000000-0005-0000-0000-00001C000000}"/>
    <cellStyle name="Check Cell 2 2" xfId="98" xr:uid="{00000000-0005-0000-0000-00001D000000}"/>
    <cellStyle name="Comma 10 2 2 2 4" xfId="236" xr:uid="{04AE6C00-3A89-455F-8B48-E803D0A2907F}"/>
    <cellStyle name="Comma 2" xfId="30" xr:uid="{00000000-0005-0000-0000-00001F000000}"/>
    <cellStyle name="Comma 2 2" xfId="51" xr:uid="{00000000-0005-0000-0000-000020000000}"/>
    <cellStyle name="Comma 2 2 2" xfId="71" xr:uid="{00000000-0005-0000-0000-000021000000}"/>
    <cellStyle name="Comma 2 2 2 2" xfId="118" xr:uid="{00000000-0005-0000-0000-000022000000}"/>
    <cellStyle name="Comma 2 2 2 2 2" xfId="196" xr:uid="{00000000-0005-0000-0000-000023000000}"/>
    <cellStyle name="Comma 2 2 2 3" xfId="163" xr:uid="{00000000-0005-0000-0000-000024000000}"/>
    <cellStyle name="Comma 2 2 3" xfId="103" xr:uid="{00000000-0005-0000-0000-000025000000}"/>
    <cellStyle name="Comma 2 2 3 2" xfId="183" xr:uid="{00000000-0005-0000-0000-000026000000}"/>
    <cellStyle name="Comma 2 2 4" xfId="150" xr:uid="{00000000-0005-0000-0000-000027000000}"/>
    <cellStyle name="Comma 2 3" xfId="67" xr:uid="{00000000-0005-0000-0000-000028000000}"/>
    <cellStyle name="Comma 2 3 2" xfId="114" xr:uid="{00000000-0005-0000-0000-000029000000}"/>
    <cellStyle name="Comma 2 3 2 2" xfId="192" xr:uid="{00000000-0005-0000-0000-00002A000000}"/>
    <cellStyle name="Comma 2 3 3" xfId="159" xr:uid="{00000000-0005-0000-0000-00002B000000}"/>
    <cellStyle name="Comma 2 4" xfId="99" xr:uid="{00000000-0005-0000-0000-00002C000000}"/>
    <cellStyle name="Comma 2 4 2" xfId="179" xr:uid="{00000000-0005-0000-0000-00002D000000}"/>
    <cellStyle name="Comma 2 5" xfId="146" xr:uid="{00000000-0005-0000-0000-00002E000000}"/>
    <cellStyle name="Comma 2 6" xfId="231" xr:uid="{383C069E-C814-4AAB-83B4-FC639E4F69A8}"/>
    <cellStyle name="Comma 2 7" xfId="239" xr:uid="{EFF5868D-EC5E-43DE-A0B0-3FCF0A3FE446}"/>
    <cellStyle name="Comma 3" xfId="60" xr:uid="{00000000-0005-0000-0000-00002F000000}"/>
    <cellStyle name="Comma 3 2" xfId="77" xr:uid="{00000000-0005-0000-0000-000030000000}"/>
    <cellStyle name="Comma 3 2 2" xfId="122" xr:uid="{00000000-0005-0000-0000-000031000000}"/>
    <cellStyle name="Comma 3 2 2 2" xfId="200" xr:uid="{00000000-0005-0000-0000-000032000000}"/>
    <cellStyle name="Comma 3 2 3" xfId="167" xr:uid="{00000000-0005-0000-0000-000033000000}"/>
    <cellStyle name="Comma 3 3" xfId="107" xr:uid="{00000000-0005-0000-0000-000034000000}"/>
    <cellStyle name="Comma 3 3 2" xfId="187" xr:uid="{00000000-0005-0000-0000-000035000000}"/>
    <cellStyle name="Comma 3 4" xfId="154" xr:uid="{00000000-0005-0000-0000-000036000000}"/>
    <cellStyle name="Comma 4" xfId="63" xr:uid="{00000000-0005-0000-0000-000037000000}"/>
    <cellStyle name="Comma 4 2" xfId="79" xr:uid="{00000000-0005-0000-0000-000038000000}"/>
    <cellStyle name="Comma 4 2 2" xfId="124" xr:uid="{00000000-0005-0000-0000-000039000000}"/>
    <cellStyle name="Comma 4 2 2 2" xfId="202" xr:uid="{00000000-0005-0000-0000-00003A000000}"/>
    <cellStyle name="Comma 4 2 3" xfId="169" xr:uid="{00000000-0005-0000-0000-00003B000000}"/>
    <cellStyle name="Comma 4 3" xfId="88" xr:uid="{00000000-0005-0000-0000-00003C000000}"/>
    <cellStyle name="Comma 4 3 2" xfId="128" xr:uid="{00000000-0005-0000-0000-00003D000000}"/>
    <cellStyle name="Comma 4 3 2 2" xfId="206" xr:uid="{00000000-0005-0000-0000-00003E000000}"/>
    <cellStyle name="Comma 4 3 3" xfId="173" xr:uid="{00000000-0005-0000-0000-00003F000000}"/>
    <cellStyle name="Comma 4 4" xfId="95" xr:uid="{00000000-0005-0000-0000-000040000000}"/>
    <cellStyle name="Comma 4 4 2" xfId="132" xr:uid="{00000000-0005-0000-0000-000041000000}"/>
    <cellStyle name="Comma 4 4 2 2" xfId="210" xr:uid="{00000000-0005-0000-0000-000042000000}"/>
    <cellStyle name="Comma 4 4 3" xfId="177" xr:uid="{00000000-0005-0000-0000-000043000000}"/>
    <cellStyle name="Comma 4 5" xfId="110" xr:uid="{00000000-0005-0000-0000-000044000000}"/>
    <cellStyle name="Comma 4 5 2" xfId="189" xr:uid="{00000000-0005-0000-0000-000045000000}"/>
    <cellStyle name="Comma 4 6" xfId="156" xr:uid="{00000000-0005-0000-0000-000046000000}"/>
    <cellStyle name="Comma 5" xfId="84" xr:uid="{00000000-0005-0000-0000-000047000000}"/>
    <cellStyle name="Comma 5 2" xfId="126" xr:uid="{00000000-0005-0000-0000-000048000000}"/>
    <cellStyle name="Comma 5 2 2" xfId="204" xr:uid="{00000000-0005-0000-0000-000049000000}"/>
    <cellStyle name="Comma 5 3" xfId="171" xr:uid="{00000000-0005-0000-0000-00004A000000}"/>
    <cellStyle name="Comma 6" xfId="92" xr:uid="{00000000-0005-0000-0000-00004B000000}"/>
    <cellStyle name="Comma 6 2" xfId="130" xr:uid="{00000000-0005-0000-0000-00004C000000}"/>
    <cellStyle name="Comma 6 2 2" xfId="208" xr:uid="{00000000-0005-0000-0000-00004D000000}"/>
    <cellStyle name="Comma 6 3" xfId="175" xr:uid="{00000000-0005-0000-0000-00004E000000}"/>
    <cellStyle name="Comma 7" xfId="144" xr:uid="{00000000-0005-0000-0000-00004F000000}"/>
    <cellStyle name="Comma 7 2" xfId="217" xr:uid="{00000000-0005-0000-0000-000050000000}"/>
    <cellStyle name="Comma 7 3" xfId="226" xr:uid="{D7B0469B-BAE4-4373-8601-3B6590C3F601}"/>
    <cellStyle name="Comma 8" xfId="233" xr:uid="{9552A7E7-82DE-43F6-A347-C299750C2A4B}"/>
    <cellStyle name="Comma_scenario cash flows" xfId="56" xr:uid="{00000000-0005-0000-0000-000051000000}"/>
    <cellStyle name="Currency" xfId="1" builtinId="4"/>
    <cellStyle name="Currency 10" xfId="97" xr:uid="{00000000-0005-0000-0000-000053000000}"/>
    <cellStyle name="Currency 10 2" xfId="178" xr:uid="{00000000-0005-0000-0000-000054000000}"/>
    <cellStyle name="Currency 11" xfId="139" xr:uid="{00000000-0005-0000-0000-000055000000}"/>
    <cellStyle name="Currency 11 2" xfId="216" xr:uid="{00000000-0005-0000-0000-000056000000}"/>
    <cellStyle name="Currency 12" xfId="145" xr:uid="{00000000-0005-0000-0000-000057000000}"/>
    <cellStyle name="Currency 13" xfId="218" xr:uid="{00000000-0005-0000-0000-000058000000}"/>
    <cellStyle name="Currency 2" xfId="32" xr:uid="{00000000-0005-0000-0000-000059000000}"/>
    <cellStyle name="Currency 2 2" xfId="53" xr:uid="{00000000-0005-0000-0000-00005A000000}"/>
    <cellStyle name="Currency 2 2 2" xfId="73" xr:uid="{00000000-0005-0000-0000-00005B000000}"/>
    <cellStyle name="Currency 2 2 2 2" xfId="120" xr:uid="{00000000-0005-0000-0000-00005C000000}"/>
    <cellStyle name="Currency 2 2 2 2 2" xfId="198" xr:uid="{00000000-0005-0000-0000-00005D000000}"/>
    <cellStyle name="Currency 2 2 2 3" xfId="165" xr:uid="{00000000-0005-0000-0000-00005E000000}"/>
    <cellStyle name="Currency 2 2 3" xfId="105" xr:uid="{00000000-0005-0000-0000-00005F000000}"/>
    <cellStyle name="Currency 2 2 3 2" xfId="185" xr:uid="{00000000-0005-0000-0000-000060000000}"/>
    <cellStyle name="Currency 2 2 4" xfId="152" xr:uid="{00000000-0005-0000-0000-000061000000}"/>
    <cellStyle name="Currency 2 3" xfId="69" xr:uid="{00000000-0005-0000-0000-000062000000}"/>
    <cellStyle name="Currency 2 3 2" xfId="116" xr:uid="{00000000-0005-0000-0000-000063000000}"/>
    <cellStyle name="Currency 2 3 2 2" xfId="194" xr:uid="{00000000-0005-0000-0000-000064000000}"/>
    <cellStyle name="Currency 2 3 3" xfId="161" xr:uid="{00000000-0005-0000-0000-000065000000}"/>
    <cellStyle name="Currency 2 4" xfId="101" xr:uid="{00000000-0005-0000-0000-000066000000}"/>
    <cellStyle name="Currency 2 4 2" xfId="181" xr:uid="{00000000-0005-0000-0000-000067000000}"/>
    <cellStyle name="Currency 2 5" xfId="148" xr:uid="{00000000-0005-0000-0000-000068000000}"/>
    <cellStyle name="Currency 2 6" xfId="219" xr:uid="{00000000-0005-0000-0000-000069000000}"/>
    <cellStyle name="Currency 2 7" xfId="222" xr:uid="{E7B6DE98-07C9-413A-942C-8631B3D9017E}"/>
    <cellStyle name="Currency 2 7 2" xfId="228" xr:uid="{D8EF4FBB-92DB-4CEE-B940-C353D88F45A0}"/>
    <cellStyle name="Currency 3" xfId="33" xr:uid="{00000000-0005-0000-0000-00006A000000}"/>
    <cellStyle name="Currency 3 2" xfId="54" xr:uid="{00000000-0005-0000-0000-00006B000000}"/>
    <cellStyle name="Currency 3 2 2" xfId="74" xr:uid="{00000000-0005-0000-0000-00006C000000}"/>
    <cellStyle name="Currency 3 2 2 2" xfId="121" xr:uid="{00000000-0005-0000-0000-00006D000000}"/>
    <cellStyle name="Currency 3 2 2 2 2" xfId="199" xr:uid="{00000000-0005-0000-0000-00006E000000}"/>
    <cellStyle name="Currency 3 2 2 3" xfId="166" xr:uid="{00000000-0005-0000-0000-00006F000000}"/>
    <cellStyle name="Currency 3 2 3" xfId="106" xr:uid="{00000000-0005-0000-0000-000070000000}"/>
    <cellStyle name="Currency 3 2 3 2" xfId="186" xr:uid="{00000000-0005-0000-0000-000071000000}"/>
    <cellStyle name="Currency 3 2 4" xfId="153" xr:uid="{00000000-0005-0000-0000-000072000000}"/>
    <cellStyle name="Currency 3 3" xfId="70" xr:uid="{00000000-0005-0000-0000-000073000000}"/>
    <cellStyle name="Currency 3 3 2" xfId="117" xr:uid="{00000000-0005-0000-0000-000074000000}"/>
    <cellStyle name="Currency 3 3 2 2" xfId="195" xr:uid="{00000000-0005-0000-0000-000075000000}"/>
    <cellStyle name="Currency 3 3 3" xfId="162" xr:uid="{00000000-0005-0000-0000-000076000000}"/>
    <cellStyle name="Currency 3 4" xfId="85" xr:uid="{00000000-0005-0000-0000-000077000000}"/>
    <cellStyle name="Currency 3 4 2" xfId="127" xr:uid="{00000000-0005-0000-0000-000078000000}"/>
    <cellStyle name="Currency 3 4 2 2" xfId="205" xr:uid="{00000000-0005-0000-0000-000079000000}"/>
    <cellStyle name="Currency 3 4 3" xfId="172" xr:uid="{00000000-0005-0000-0000-00007A000000}"/>
    <cellStyle name="Currency 3 5" xfId="102" xr:uid="{00000000-0005-0000-0000-00007B000000}"/>
    <cellStyle name="Currency 3 5 2" xfId="182" xr:uid="{00000000-0005-0000-0000-00007C000000}"/>
    <cellStyle name="Currency 3 6" xfId="149" xr:uid="{00000000-0005-0000-0000-00007D000000}"/>
    <cellStyle name="Currency 4" xfId="31" xr:uid="{00000000-0005-0000-0000-00007E000000}"/>
    <cellStyle name="Currency 4 2" xfId="68" xr:uid="{00000000-0005-0000-0000-00007F000000}"/>
    <cellStyle name="Currency 4 2 2" xfId="115" xr:uid="{00000000-0005-0000-0000-000080000000}"/>
    <cellStyle name="Currency 4 2 2 2" xfId="193" xr:uid="{00000000-0005-0000-0000-000081000000}"/>
    <cellStyle name="Currency 4 2 3" xfId="160" xr:uid="{00000000-0005-0000-0000-000082000000}"/>
    <cellStyle name="Currency 4 3" xfId="100" xr:uid="{00000000-0005-0000-0000-000083000000}"/>
    <cellStyle name="Currency 4 3 2" xfId="180" xr:uid="{00000000-0005-0000-0000-000084000000}"/>
    <cellStyle name="Currency 4 4" xfId="147" xr:uid="{00000000-0005-0000-0000-000085000000}"/>
    <cellStyle name="Currency 5" xfId="52" xr:uid="{00000000-0005-0000-0000-000086000000}"/>
    <cellStyle name="Currency 5 2" xfId="72" xr:uid="{00000000-0005-0000-0000-000087000000}"/>
    <cellStyle name="Currency 5 2 2" xfId="119" xr:uid="{00000000-0005-0000-0000-000088000000}"/>
    <cellStyle name="Currency 5 2 2 2" xfId="197" xr:uid="{00000000-0005-0000-0000-000089000000}"/>
    <cellStyle name="Currency 5 2 3" xfId="164" xr:uid="{00000000-0005-0000-0000-00008A000000}"/>
    <cellStyle name="Currency 5 3" xfId="104" xr:uid="{00000000-0005-0000-0000-00008B000000}"/>
    <cellStyle name="Currency 5 3 2" xfId="184" xr:uid="{00000000-0005-0000-0000-00008C000000}"/>
    <cellStyle name="Currency 5 4" xfId="151" xr:uid="{00000000-0005-0000-0000-00008D000000}"/>
    <cellStyle name="Currency 6" xfId="61" xr:uid="{00000000-0005-0000-0000-00008E000000}"/>
    <cellStyle name="Currency 6 2" xfId="78" xr:uid="{00000000-0005-0000-0000-00008F000000}"/>
    <cellStyle name="Currency 6 2 2" xfId="123" xr:uid="{00000000-0005-0000-0000-000090000000}"/>
    <cellStyle name="Currency 6 2 2 2" xfId="201" xr:uid="{00000000-0005-0000-0000-000091000000}"/>
    <cellStyle name="Currency 6 2 3" xfId="168" xr:uid="{00000000-0005-0000-0000-000092000000}"/>
    <cellStyle name="Currency 6 3" xfId="108" xr:uid="{00000000-0005-0000-0000-000093000000}"/>
    <cellStyle name="Currency 6 3 2" xfId="188" xr:uid="{00000000-0005-0000-0000-000094000000}"/>
    <cellStyle name="Currency 6 4" xfId="155" xr:uid="{00000000-0005-0000-0000-000095000000}"/>
    <cellStyle name="Currency 7" xfId="64" xr:uid="{00000000-0005-0000-0000-000096000000}"/>
    <cellStyle name="Currency 7 2" xfId="80" xr:uid="{00000000-0005-0000-0000-000097000000}"/>
    <cellStyle name="Currency 7 2 2" xfId="125" xr:uid="{00000000-0005-0000-0000-000098000000}"/>
    <cellStyle name="Currency 7 2 2 2" xfId="203" xr:uid="{00000000-0005-0000-0000-000099000000}"/>
    <cellStyle name="Currency 7 2 3" xfId="170" xr:uid="{00000000-0005-0000-0000-00009A000000}"/>
    <cellStyle name="Currency 7 3" xfId="90" xr:uid="{00000000-0005-0000-0000-00009B000000}"/>
    <cellStyle name="Currency 7 3 2" xfId="129" xr:uid="{00000000-0005-0000-0000-00009C000000}"/>
    <cellStyle name="Currency 7 3 2 2" xfId="207" xr:uid="{00000000-0005-0000-0000-00009D000000}"/>
    <cellStyle name="Currency 7 3 3" xfId="174" xr:uid="{00000000-0005-0000-0000-00009E000000}"/>
    <cellStyle name="Currency 7 4" xfId="111" xr:uid="{00000000-0005-0000-0000-00009F000000}"/>
    <cellStyle name="Currency 7 4 2" xfId="190" xr:uid="{00000000-0005-0000-0000-0000A0000000}"/>
    <cellStyle name="Currency 7 5" xfId="157" xr:uid="{00000000-0005-0000-0000-0000A1000000}"/>
    <cellStyle name="Currency 8" xfId="66" xr:uid="{00000000-0005-0000-0000-0000A2000000}"/>
    <cellStyle name="Currency 8 2" xfId="113" xr:uid="{00000000-0005-0000-0000-0000A3000000}"/>
    <cellStyle name="Currency 8 2 2" xfId="191" xr:uid="{00000000-0005-0000-0000-0000A4000000}"/>
    <cellStyle name="Currency 8 3" xfId="158" xr:uid="{00000000-0005-0000-0000-0000A5000000}"/>
    <cellStyle name="Currency 9" xfId="93" xr:uid="{00000000-0005-0000-0000-0000A6000000}"/>
    <cellStyle name="Currency 9 2" xfId="131" xr:uid="{00000000-0005-0000-0000-0000A7000000}"/>
    <cellStyle name="Currency 9 2 2" xfId="209" xr:uid="{00000000-0005-0000-0000-0000A8000000}"/>
    <cellStyle name="Currency 9 3" xfId="176" xr:uid="{00000000-0005-0000-0000-0000A9000000}"/>
    <cellStyle name="Currency_scenario cash flows" xfId="55" xr:uid="{00000000-0005-0000-0000-0000AA000000}"/>
    <cellStyle name="Explanatory Text 2" xfId="34" xr:uid="{00000000-0005-0000-0000-0000AB000000}"/>
    <cellStyle name="Good 2" xfId="35" xr:uid="{00000000-0005-0000-0000-0000AC000000}"/>
    <cellStyle name="Heading 1 2" xfId="36" xr:uid="{00000000-0005-0000-0000-0000AD000000}"/>
    <cellStyle name="Heading 2 2" xfId="37" xr:uid="{00000000-0005-0000-0000-0000AE000000}"/>
    <cellStyle name="Heading 3 2" xfId="38" xr:uid="{00000000-0005-0000-0000-0000AF000000}"/>
    <cellStyle name="Heading 4 2" xfId="39" xr:uid="{00000000-0005-0000-0000-0000B0000000}"/>
    <cellStyle name="Hyperlink 2" xfId="86" xr:uid="{00000000-0005-0000-0000-0000B2000000}"/>
    <cellStyle name="Hyperlink 2 2" xfId="223" xr:uid="{ACA9752B-D00D-4304-B16F-5A9D223B1B47}"/>
    <cellStyle name="Input 2" xfId="40" xr:uid="{00000000-0005-0000-0000-0000B3000000}"/>
    <cellStyle name="Input 3" xfId="141" xr:uid="{00000000-0005-0000-0000-0000B4000000}"/>
    <cellStyle name="Linked Cell 2" xfId="41" xr:uid="{00000000-0005-0000-0000-0000B5000000}"/>
    <cellStyle name="Neutral 2" xfId="42" xr:uid="{00000000-0005-0000-0000-0000B6000000}"/>
    <cellStyle name="Normal" xfId="0" builtinId="0"/>
    <cellStyle name="Normal 10" xfId="137" xr:uid="{00000000-0005-0000-0000-0000B8000000}"/>
    <cellStyle name="Normal 10 2" xfId="215" xr:uid="{00000000-0005-0000-0000-0000B9000000}"/>
    <cellStyle name="Normal 10 2 15" xfId="234" xr:uid="{302D39B0-63E5-4CBC-9A4A-7DCE7EC153F6}"/>
    <cellStyle name="Normal 11" xfId="138" xr:uid="{00000000-0005-0000-0000-0000BA000000}"/>
    <cellStyle name="Normal 12" xfId="143" xr:uid="{00000000-0005-0000-0000-0000BB000000}"/>
    <cellStyle name="Normal 12 2" xfId="238" xr:uid="{8AC0499D-4E86-4FE9-BFD9-3AA1D7E98AED}"/>
    <cellStyle name="Normal 13" xfId="232" xr:uid="{EFB3775F-A435-4FDF-92B5-899F85324BA0}"/>
    <cellStyle name="Normal 2" xfId="43" xr:uid="{00000000-0005-0000-0000-0000BC000000}"/>
    <cellStyle name="Normal 2 2" xfId="96" xr:uid="{00000000-0005-0000-0000-0000BD000000}"/>
    <cellStyle name="Normal 2 2 2" xfId="224" xr:uid="{FB4824A5-EF13-4D96-B029-D053D13E8F10}"/>
    <cellStyle name="Normal 2 3" xfId="220" xr:uid="{07FBA243-7628-4CE1-9C9A-351C7FF9CB19}"/>
    <cellStyle name="Normal 2 3 2" xfId="227" xr:uid="{AD530006-BB40-4A31-A920-080F145AC4D0}"/>
    <cellStyle name="Normal 3" xfId="2" xr:uid="{00000000-0005-0000-0000-0000BE000000}"/>
    <cellStyle name="Normal 3 2" xfId="82" xr:uid="{00000000-0005-0000-0000-0000BF000000}"/>
    <cellStyle name="Normal 3 2 2" xfId="94" xr:uid="{00000000-0005-0000-0000-0000C0000000}"/>
    <cellStyle name="Normal 4" xfId="57" xr:uid="{00000000-0005-0000-0000-0000C1000000}"/>
    <cellStyle name="Normal 4 2" xfId="75" xr:uid="{00000000-0005-0000-0000-0000C2000000}"/>
    <cellStyle name="Normal 5" xfId="62" xr:uid="{00000000-0005-0000-0000-0000C3000000}"/>
    <cellStyle name="Normal 5 2" xfId="109" xr:uid="{00000000-0005-0000-0000-0000C4000000}"/>
    <cellStyle name="Normal 6" xfId="87" xr:uid="{00000000-0005-0000-0000-0000C5000000}"/>
    <cellStyle name="Normal 6 2" xfId="91" xr:uid="{00000000-0005-0000-0000-0000C6000000}"/>
    <cellStyle name="Normal 7" xfId="133" xr:uid="{00000000-0005-0000-0000-0000C7000000}"/>
    <cellStyle name="Normal 7 2" xfId="135" xr:uid="{00000000-0005-0000-0000-0000C8000000}"/>
    <cellStyle name="Normal 7 2 2" xfId="213" xr:uid="{00000000-0005-0000-0000-0000C9000000}"/>
    <cellStyle name="Normal 7 3" xfId="211" xr:uid="{00000000-0005-0000-0000-0000CA000000}"/>
    <cellStyle name="Normal 8" xfId="134" xr:uid="{00000000-0005-0000-0000-0000CB000000}"/>
    <cellStyle name="Normal 8 2" xfId="212" xr:uid="{00000000-0005-0000-0000-0000CC000000}"/>
    <cellStyle name="Normal 9" xfId="136" xr:uid="{00000000-0005-0000-0000-0000CD000000}"/>
    <cellStyle name="Normal 9 2" xfId="214" xr:uid="{00000000-0005-0000-0000-0000CE000000}"/>
    <cellStyle name="Note 2" xfId="44" xr:uid="{00000000-0005-0000-0000-0000D0000000}"/>
    <cellStyle name="Output 2" xfId="45" xr:uid="{00000000-0005-0000-0000-0000D1000000}"/>
    <cellStyle name="Percent" xfId="81" builtinId="5"/>
    <cellStyle name="Percent 0" xfId="237" xr:uid="{9FCCCB83-7121-488D-8AE6-EB05CC5BCB47}"/>
    <cellStyle name="Percent 2" xfId="46" xr:uid="{00000000-0005-0000-0000-0000D3000000}"/>
    <cellStyle name="Percent 2 2" xfId="83" xr:uid="{00000000-0005-0000-0000-0000D4000000}"/>
    <cellStyle name="Percent 2 2 2" xfId="225" xr:uid="{8AC8DA9A-F6A7-415C-AFB5-A082FA10E5BB}"/>
    <cellStyle name="Percent 2 3" xfId="221" xr:uid="{55892A83-99F2-4D4E-9FDF-B9297BED95AC}"/>
    <cellStyle name="Percent 2 3 2" xfId="229" xr:uid="{D30DDC24-FA4A-463C-B91C-CDE3234AB8FC}"/>
    <cellStyle name="Percent 2 4" xfId="230" xr:uid="{8DE55CB5-0309-4640-A3D5-A5FD32CBAF18}"/>
    <cellStyle name="Percent 3" xfId="47" xr:uid="{00000000-0005-0000-0000-0000D5000000}"/>
    <cellStyle name="Percent 3 2" xfId="59" xr:uid="{00000000-0005-0000-0000-0000D6000000}"/>
    <cellStyle name="Percent 4" xfId="58" xr:uid="{00000000-0005-0000-0000-0000D7000000}"/>
    <cellStyle name="Percent 4 2" xfId="76" xr:uid="{00000000-0005-0000-0000-0000D8000000}"/>
    <cellStyle name="Percent 5" xfId="65" xr:uid="{00000000-0005-0000-0000-0000D9000000}"/>
    <cellStyle name="Percent 5 2" xfId="89" xr:uid="{00000000-0005-0000-0000-0000DA000000}"/>
    <cellStyle name="Percent 5 3" xfId="112" xr:uid="{00000000-0005-0000-0000-0000DB000000}"/>
    <cellStyle name="R07L" xfId="235" xr:uid="{D6B22C8C-3E82-4E28-BCCE-0B3840B53188}"/>
    <cellStyle name="Title 2" xfId="48" xr:uid="{00000000-0005-0000-0000-0000DC000000}"/>
    <cellStyle name="Total 2" xfId="49" xr:uid="{00000000-0005-0000-0000-0000DD000000}"/>
    <cellStyle name="Warning Text 2" xfId="50" xr:uid="{00000000-0005-0000-0000-0000DE000000}"/>
  </cellStyles>
  <dxfs count="49">
    <dxf>
      <fill>
        <patternFill>
          <bgColor rgb="FFFF0000"/>
        </patternFill>
      </fill>
    </dxf>
    <dxf>
      <fill>
        <patternFill>
          <bgColor rgb="FFFF0000"/>
        </patternFill>
      </fill>
    </dxf>
    <dxf>
      <fill>
        <patternFill>
          <bgColor rgb="FFFF0000"/>
        </patternFill>
      </fill>
    </dxf>
    <dxf>
      <fill>
        <patternFill>
          <bgColor rgb="FFFF0000"/>
        </patternFill>
      </fill>
    </dxf>
    <dxf>
      <font>
        <b val="0"/>
        <i val="0"/>
        <strike val="0"/>
        <condense val="0"/>
        <extend val="0"/>
        <outline val="0"/>
        <shadow val="0"/>
        <u val="none"/>
        <vertAlign val="baseline"/>
        <sz val="11"/>
        <color auto="1"/>
        <name val="Calibri"/>
        <scheme val="minor"/>
      </font>
      <numFmt numFmtId="167" formatCode="_-&quot;$&quot;* #,##0_-;\-&quot;$&quot;* #,##0_-;_-&quot;$&quot;* &quot;-&quot;??_-;_-@_-"/>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scheme val="none"/>
      </font>
      <numFmt numFmtId="13" formatCode="0%"/>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1"/>
        <color auto="1"/>
        <name val="Calibri"/>
        <scheme val="none"/>
      </font>
      <fill>
        <patternFill patternType="none">
          <fgColor indexed="64"/>
          <bgColor indexed="65"/>
        </patternFill>
      </fill>
      <alignment horizontal="center" vertical="center" textRotation="0" wrapText="1" indent="0" justifyLastLine="0" shrinkToFit="0" readingOrder="0"/>
      <border diagonalUp="0" diagonalDown="0">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1"/>
        <color auto="1"/>
        <name val="Calibri"/>
        <scheme val="minor"/>
      </font>
      <numFmt numFmtId="167" formatCode="_-&quot;$&quot;* #,##0_-;\-&quot;$&quot;* #,##0_-;_-&quot;$&quot;* &quot;-&quot;??_-;_-@_-"/>
      <alignment horizontal="general" vertical="center" textRotation="0" wrapText="0" indent="0" justifyLastLine="0" shrinkToFit="0" readingOrder="0"/>
      <border diagonalUp="0" diagonalDown="0" outline="0">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scheme val="none"/>
      </font>
      <numFmt numFmtId="167" formatCode="_-&quot;$&quot;* #,##0_-;\-&quot;$&quot;* #,##0_-;_-&quot;$&quot;* &quot;-&quot;??_-;_-@_-"/>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scheme val="none"/>
      </font>
      <numFmt numFmtId="167" formatCode="_-&quot;$&quot;* #,##0_-;\-&quot;$&quot;* #,##0_-;_-&quot;$&quot;* &quot;-&quot;??_-;_-@_-"/>
      <fill>
        <patternFill patternType="none">
          <fgColor indexed="64"/>
          <bgColor indexed="65"/>
        </patternFill>
      </fill>
      <alignment horizontal="center" vertical="center" textRotation="0" wrapText="1" indent="0" justifyLastLine="0" shrinkToFit="0" readingOrder="0"/>
      <border diagonalUp="0" diagonalDown="0">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1"/>
        <color auto="1"/>
        <name val="Calibri"/>
        <scheme val="none"/>
      </font>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scheme val="none"/>
      </font>
      <numFmt numFmtId="0" formatCode="General"/>
      <fill>
        <patternFill patternType="none">
          <fgColor indexed="64"/>
          <bgColor indexed="65"/>
        </patternFill>
      </fill>
      <alignment horizontal="center" vertical="center" textRotation="0" wrapText="1" indent="0" justifyLastLine="0" shrinkToFit="0" readingOrder="0"/>
      <border diagonalUp="0" diagonalDown="0">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scheme val="none"/>
      </font>
      <numFmt numFmtId="0" formatCode="Genera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none"/>
      </font>
      <numFmt numFmtId="0" formatCode="General"/>
      <fill>
        <patternFill patternType="solid">
          <fgColor indexed="64"/>
          <bgColor theme="4" tint="0.79998168889431442"/>
        </patternFill>
      </fill>
      <alignment horizontal="left" vertical="center" textRotation="0" wrapText="0" indent="0" justifyLastLine="0" shrinkToFit="0" readingOrder="0"/>
      <border diagonalUp="0" diagonalDown="0">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none"/>
      </font>
      <numFmt numFmtId="0" formatCode="General"/>
      <fill>
        <patternFill patternType="none">
          <fgColor indexed="64"/>
          <bgColor indexed="65"/>
        </patternFill>
      </fill>
      <alignment horizontal="center" vertical="center" textRotation="0" wrapText="1" indent="0" justifyLastLine="0" shrinkToFit="0" readingOrder="0"/>
      <border diagonalUp="0" diagonalDown="0" outline="0">
        <left/>
        <right style="thin">
          <color indexed="64"/>
        </right>
        <top style="thin">
          <color indexed="64"/>
        </top>
        <bottom style="thin">
          <color indexed="64"/>
        </bottom>
      </border>
    </dxf>
    <dxf>
      <border outline="0">
        <top style="thin">
          <color rgb="FF000000"/>
        </top>
      </border>
    </dxf>
    <dxf>
      <border outline="0">
        <left style="thin">
          <color rgb="FF000000"/>
        </left>
        <right style="thin">
          <color rgb="FF000000"/>
        </right>
        <top style="medium">
          <color rgb="FF000000"/>
        </top>
        <bottom style="thin">
          <color rgb="FF000000"/>
        </bottom>
      </border>
    </dxf>
    <dxf>
      <border outline="0">
        <bottom style="thin">
          <color rgb="FF000000"/>
        </bottom>
      </border>
    </dxf>
    <dxf>
      <font>
        <b/>
        <i val="0"/>
        <strike val="0"/>
        <condense val="0"/>
        <extend val="0"/>
        <outline val="0"/>
        <shadow val="0"/>
        <u val="none"/>
        <vertAlign val="baseline"/>
        <sz val="10"/>
        <color auto="1"/>
        <name val="Arial"/>
        <scheme val="none"/>
      </font>
      <fill>
        <patternFill patternType="solid">
          <fgColor indexed="64"/>
          <bgColor theme="6" tint="0.59999389629810485"/>
        </patternFill>
      </fill>
      <alignment horizontal="center" vertical="center" textRotation="0" wrapText="1" indent="0" justifyLastLine="0" shrinkToFit="0" readingOrder="0"/>
      <border diagonalUp="0" diagonalDown="0">
        <left style="thin">
          <color indexed="64"/>
        </left>
        <right style="thin">
          <color indexed="64"/>
        </right>
        <top/>
        <bottom/>
      </border>
      <protection locked="0" hidden="0"/>
    </dxf>
    <dxf>
      <font>
        <b val="0"/>
        <i val="0"/>
        <strike val="0"/>
        <condense val="0"/>
        <extend val="0"/>
        <outline val="0"/>
        <shadow val="0"/>
        <u val="none"/>
        <vertAlign val="baseline"/>
        <sz val="11"/>
        <color auto="1"/>
        <name val="Calibri"/>
        <scheme val="minor"/>
      </font>
      <numFmt numFmtId="167" formatCode="_-&quot;$&quot;* #,##0_-;\-&quot;$&quot;* #,##0_-;_-&quot;$&quot;* &quot;-&quot;??_-;_-@_-"/>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scheme val="none"/>
      </font>
      <numFmt numFmtId="13" formatCode="0%"/>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1"/>
        <color auto="1"/>
        <name val="Calibri"/>
        <scheme val="none"/>
      </font>
      <fill>
        <patternFill patternType="none">
          <fgColor indexed="64"/>
          <bgColor indexed="65"/>
        </patternFill>
      </fill>
      <alignment horizontal="center" vertical="center" textRotation="0" wrapText="1" indent="0" justifyLastLine="0" shrinkToFit="0" readingOrder="0"/>
      <border diagonalUp="0" diagonalDown="0">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1"/>
        <color auto="1"/>
        <name val="Calibri"/>
        <scheme val="minor"/>
      </font>
      <numFmt numFmtId="167" formatCode="_-&quot;$&quot;* #,##0_-;\-&quot;$&quot;* #,##0_-;_-&quot;$&quot;* &quot;-&quot;??_-;_-@_-"/>
      <alignment horizontal="general" vertical="center" textRotation="0" wrapText="0" indent="0" justifyLastLine="0" shrinkToFit="0" readingOrder="0"/>
      <border diagonalUp="0" diagonalDown="0" outline="0">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scheme val="none"/>
      </font>
      <numFmt numFmtId="167" formatCode="_-&quot;$&quot;* #,##0_-;\-&quot;$&quot;* #,##0_-;_-&quot;$&quot;* &quot;-&quot;??_-;_-@_-"/>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scheme val="none"/>
      </font>
      <numFmt numFmtId="167" formatCode="_-&quot;$&quot;* #,##0_-;\-&quot;$&quot;* #,##0_-;_-&quot;$&quot;* &quot;-&quot;??_-;_-@_-"/>
      <fill>
        <patternFill patternType="none">
          <fgColor indexed="64"/>
          <bgColor indexed="65"/>
        </patternFill>
      </fill>
      <alignment horizontal="center" vertical="center" textRotation="0" wrapText="1" indent="0" justifyLastLine="0" shrinkToFit="0" readingOrder="0"/>
      <border diagonalUp="0" diagonalDown="0">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1"/>
        <color auto="1"/>
        <name val="Calibri"/>
        <scheme val="none"/>
      </font>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none"/>
      </font>
      <numFmt numFmtId="0" formatCode="General"/>
      <fill>
        <patternFill patternType="none">
          <fgColor indexed="64"/>
          <bgColor indexed="65"/>
        </patternFill>
      </fill>
      <alignment horizontal="center" vertical="center" textRotation="0" wrapText="1" indent="0" justifyLastLine="0" shrinkToFit="0" readingOrder="0"/>
      <border diagonalUp="0" diagonalDown="0">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none"/>
      </font>
      <numFmt numFmtId="0" formatCode="General"/>
      <alignment horizontal="center" vertical="center" textRotation="0" wrapText="0" indent="0" justifyLastLine="0" shrinkToFit="0" readingOrder="0"/>
      <border diagonalUp="0" diagonalDown="0" outline="0">
        <left/>
        <right style="thin">
          <color indexed="64"/>
        </right>
        <top style="thin">
          <color indexed="64"/>
        </top>
        <bottom style="thin">
          <color indexed="64"/>
        </bottom>
      </border>
    </dxf>
    <dxf>
      <font>
        <b val="0"/>
        <i val="0"/>
        <strike val="0"/>
        <condense val="0"/>
        <extend val="0"/>
        <outline val="0"/>
        <shadow val="0"/>
        <u val="none"/>
        <vertAlign val="baseline"/>
        <sz val="10"/>
        <color theme="1"/>
        <name val="Calibri"/>
        <family val="2"/>
        <scheme val="none"/>
      </font>
      <numFmt numFmtId="0" formatCode="General"/>
      <fill>
        <patternFill patternType="solid">
          <fgColor indexed="64"/>
          <bgColor theme="4" tint="0.79998168889431442"/>
        </patternFill>
      </fill>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dxf>
    <dxf>
      <font>
        <b val="0"/>
        <i val="0"/>
        <strike val="0"/>
        <condense val="0"/>
        <extend val="0"/>
        <outline val="0"/>
        <shadow val="0"/>
        <u val="none"/>
        <vertAlign val="baseline"/>
        <sz val="11"/>
        <color theme="1"/>
        <name val="Calibri"/>
        <family val="2"/>
        <scheme val="none"/>
      </font>
      <numFmt numFmtId="0" formatCode="General"/>
      <fill>
        <patternFill patternType="none">
          <fgColor indexed="64"/>
          <bgColor indexed="65"/>
        </patternFill>
      </fill>
      <alignment horizontal="center" vertical="center" textRotation="0" wrapText="1" indent="0" justifyLastLine="0" shrinkToFit="0" readingOrder="0"/>
      <border diagonalUp="0" diagonalDown="0" outline="0">
        <left/>
        <right/>
        <top style="thin">
          <color indexed="64"/>
        </top>
        <bottom style="thin">
          <color indexed="64"/>
        </bottom>
      </border>
    </dxf>
    <dxf>
      <border outline="0">
        <top style="thin">
          <color rgb="FF000000"/>
        </top>
      </border>
    </dxf>
    <dxf>
      <border outline="0">
        <left style="thin">
          <color rgb="FF000000"/>
        </left>
        <right style="thin">
          <color rgb="FF000000"/>
        </right>
        <top style="medium">
          <color rgb="FF000000"/>
        </top>
        <bottom style="thin">
          <color rgb="FF000000"/>
        </bottom>
      </border>
    </dxf>
    <dxf>
      <border outline="0">
        <bottom style="thin">
          <color rgb="FF000000"/>
        </bottom>
      </border>
    </dxf>
    <dxf>
      <font>
        <b/>
        <i val="0"/>
        <strike val="0"/>
        <condense val="0"/>
        <extend val="0"/>
        <outline val="0"/>
        <shadow val="0"/>
        <u val="none"/>
        <vertAlign val="baseline"/>
        <sz val="10"/>
        <color auto="1"/>
        <name val="Arial"/>
        <scheme val="none"/>
      </font>
      <fill>
        <patternFill patternType="solid">
          <fgColor indexed="64"/>
          <bgColor theme="6" tint="0.59999389629810485"/>
        </patternFill>
      </fill>
      <alignment horizontal="center" vertical="center" textRotation="0" wrapText="1" indent="0" justifyLastLine="0" shrinkToFit="0" readingOrder="0"/>
      <border diagonalUp="0" diagonalDown="0">
        <left style="thin">
          <color indexed="64"/>
        </left>
        <right style="thin">
          <color indexed="64"/>
        </right>
        <top/>
        <bottom/>
      </border>
      <protection locked="0" hidden="0"/>
    </dxf>
    <dxf>
      <font>
        <b val="0"/>
        <i val="0"/>
        <strike val="0"/>
        <condense val="0"/>
        <extend val="0"/>
        <outline val="0"/>
        <shadow val="0"/>
        <u val="none"/>
        <vertAlign val="baseline"/>
        <sz val="11"/>
        <color auto="1"/>
        <name val="Calibri"/>
        <scheme val="minor"/>
      </font>
      <numFmt numFmtId="167" formatCode="_-&quot;$&quot;* #,##0_-;\-&quot;$&quot;* #,##0_-;_-&quot;$&quot;* &quot;-&quot;??_-;_-@_-"/>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scheme val="none"/>
      </font>
      <numFmt numFmtId="13" formatCode="0%"/>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1"/>
        <color auto="1"/>
        <name val="Calibri"/>
        <scheme val="none"/>
      </font>
      <numFmt numFmtId="13" formatCode="0%"/>
      <fill>
        <patternFill patternType="none">
          <fgColor indexed="64"/>
          <bgColor indexed="65"/>
        </patternFill>
      </fill>
      <alignment horizontal="center" vertical="center" textRotation="0" wrapText="1" indent="0" justifyLastLine="0" shrinkToFit="0" readingOrder="0"/>
      <border diagonalUp="0" diagonalDown="0">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1"/>
        <color auto="1"/>
        <name val="Calibri"/>
        <scheme val="minor"/>
      </font>
      <numFmt numFmtId="167" formatCode="_-&quot;$&quot;* #,##0_-;\-&quot;$&quot;* #,##0_-;_-&quot;$&quot;* &quot;-&quot;??_-;_-@_-"/>
      <alignment horizontal="general" vertical="center" textRotation="0" wrapText="0" indent="0" justifyLastLine="0" shrinkToFit="0" readingOrder="0"/>
      <border diagonalUp="0" diagonalDown="0" outline="0">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scheme val="none"/>
      </font>
      <numFmt numFmtId="167" formatCode="_-&quot;$&quot;* #,##0_-;\-&quot;$&quot;* #,##0_-;_-&quot;$&quot;* &quot;-&quot;??_-;_-@_-"/>
      <fill>
        <patternFill patternType="none">
          <fgColor indexed="64"/>
          <bgColor indexed="65"/>
        </patternFill>
      </fill>
      <alignment horizontal="center" vertical="center" textRotation="0" wrapText="1" indent="0" justifyLastLine="0" shrinkToFit="0" readingOrder="0"/>
      <border diagonalUp="0" diagonalDown="0">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scheme val="none"/>
      </font>
      <numFmt numFmtId="165" formatCode="_-&quot;$&quot;* #,##0.00_-;\-&quot;$&quot;* #,##0.00_-;_-&quot;$&quot;* &quot;-&quot;??_-;_-@_-"/>
      <fill>
        <patternFill patternType="none">
          <fgColor indexed="64"/>
          <bgColor indexed="65"/>
        </patternFill>
      </fill>
      <alignment horizontal="center" vertical="center" textRotation="0" wrapText="1" indent="0" justifyLastLine="0" shrinkToFit="0" readingOrder="0"/>
      <border diagonalUp="0" diagonalDown="0">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1"/>
        <color auto="1"/>
        <name val="Calibri"/>
        <scheme val="none"/>
      </font>
      <alignment horizontal="center" vertical="center" textRotation="0" wrapText="0"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1"/>
        <color auto="1"/>
        <name val="Calibri"/>
        <scheme val="none"/>
      </font>
      <numFmt numFmtId="0" formatCode="General"/>
      <fill>
        <patternFill patternType="none">
          <fgColor indexed="64"/>
          <bgColor indexed="65"/>
        </patternFill>
      </fill>
      <alignment horizontal="center" vertical="center" textRotation="0" wrapText="1" indent="0" justifyLastLine="0" shrinkToFit="0" readingOrder="0"/>
      <border diagonalUp="0" diagonalDown="0">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scheme val="none"/>
      </font>
      <numFmt numFmtId="0" formatCode="Genera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Montserrat Medium"/>
        <scheme val="none"/>
      </font>
      <numFmt numFmtId="0" formatCode="General"/>
      <fill>
        <patternFill patternType="solid">
          <fgColor indexed="64"/>
          <bgColor theme="4" tint="0.79998168889431442"/>
        </patternFill>
      </fill>
      <alignment horizontal="left" vertical="center" textRotation="0" wrapText="0" indent="0" justifyLastLine="0" shrinkToFit="0" readingOrder="0"/>
      <border diagonalUp="0" diagonalDown="0" outline="0">
        <left/>
        <right style="thin">
          <color indexed="64"/>
        </right>
        <top style="thin">
          <color indexed="64"/>
        </top>
        <bottom style="thin">
          <color indexed="64"/>
        </bottom>
      </border>
    </dxf>
    <dxf>
      <font>
        <b val="0"/>
        <i val="0"/>
        <strike val="0"/>
        <condense val="0"/>
        <extend val="0"/>
        <outline val="0"/>
        <shadow val="0"/>
        <u val="none"/>
        <vertAlign val="baseline"/>
        <sz val="11"/>
        <color theme="1"/>
        <name val="Calibri  "/>
        <scheme val="none"/>
      </font>
      <numFmt numFmtId="0" formatCode="General"/>
      <fill>
        <patternFill patternType="none">
          <fgColor indexed="64"/>
          <bgColor indexed="65"/>
        </patternFill>
      </fill>
      <alignment horizontal="center" vertical="center" textRotation="0" wrapText="0" indent="0" justifyLastLine="0" shrinkToFit="0" readingOrder="0"/>
      <border diagonalUp="0" diagonalDown="0" outline="0">
        <left/>
        <right/>
        <top style="thin">
          <color indexed="64"/>
        </top>
        <bottom style="thin">
          <color indexed="64"/>
        </bottom>
      </border>
    </dxf>
    <dxf>
      <border outline="0">
        <top style="thin">
          <color rgb="FF000000"/>
        </top>
      </border>
    </dxf>
    <dxf>
      <border outline="0">
        <left style="thin">
          <color rgb="FF000000"/>
        </left>
        <right style="thin">
          <color rgb="FF000000"/>
        </right>
        <top style="medium">
          <color rgb="FF000000"/>
        </top>
        <bottom style="thin">
          <color rgb="FF000000"/>
        </bottom>
      </border>
    </dxf>
    <dxf>
      <border outline="0">
        <bottom style="thin">
          <color rgb="FF000000"/>
        </bottom>
      </border>
    </dxf>
    <dxf>
      <font>
        <b/>
        <i val="0"/>
        <strike val="0"/>
        <condense val="0"/>
        <extend val="0"/>
        <outline val="0"/>
        <shadow val="0"/>
        <u val="none"/>
        <vertAlign val="baseline"/>
        <sz val="10"/>
        <color auto="1"/>
        <name val="Arial"/>
        <scheme val="none"/>
      </font>
      <fill>
        <patternFill patternType="solid">
          <fgColor indexed="64"/>
          <bgColor theme="6" tint="0.59999389629810485"/>
        </patternFill>
      </fill>
      <alignment horizontal="center" vertical="center" textRotation="0" wrapText="1" indent="0" justifyLastLine="0" shrinkToFit="0" readingOrder="0"/>
      <border diagonalUp="0" diagonalDown="0">
        <left style="thin">
          <color indexed="64"/>
        </left>
        <right style="thin">
          <color indexed="64"/>
        </right>
        <top/>
        <bottom/>
      </border>
      <protection locked="0" hidden="0"/>
    </dxf>
  </dxfs>
  <tableStyles count="0" defaultTableStyle="TableStyleMedium2" defaultPivotStyle="PivotStyleLight16"/>
  <colors>
    <mruColors>
      <color rgb="FFF8CBAD"/>
      <color rgb="FFFF7C80"/>
      <color rgb="FFFFE699"/>
      <color rgb="FFFFF915"/>
      <color rgb="FFD9D9D9"/>
      <color rgb="FFBDD7EE"/>
      <color rgb="FFF4EE00"/>
      <color rgb="FFFBABAB"/>
      <color rgb="FF70AD47"/>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eetMetadata" Target="metadata.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1</xdr:col>
      <xdr:colOff>2752726</xdr:colOff>
      <xdr:row>12</xdr:row>
      <xdr:rowOff>548012</xdr:rowOff>
    </xdr:from>
    <xdr:to>
      <xdr:col>1</xdr:col>
      <xdr:colOff>4238626</xdr:colOff>
      <xdr:row>12</xdr:row>
      <xdr:rowOff>1552764</xdr:rowOff>
    </xdr:to>
    <xdr:pic>
      <xdr:nvPicPr>
        <xdr:cNvPr id="3" name="Picture 2">
          <a:extLst>
            <a:ext uri="{FF2B5EF4-FFF2-40B4-BE49-F238E27FC236}">
              <a16:creationId xmlns:a16="http://schemas.microsoft.com/office/drawing/2014/main" id="{AF677290-54C6-5522-C285-40B7B7F25AD5}"/>
            </a:ext>
          </a:extLst>
        </xdr:cNvPr>
        <xdr:cNvPicPr>
          <a:picLocks noChangeAspect="1"/>
        </xdr:cNvPicPr>
      </xdr:nvPicPr>
      <xdr:blipFill>
        <a:blip xmlns:r="http://schemas.openxmlformats.org/officeDocument/2006/relationships" r:embed="rId1"/>
        <a:stretch>
          <a:fillRect/>
        </a:stretch>
      </xdr:blipFill>
      <xdr:spPr>
        <a:xfrm>
          <a:off x="4819651" y="4167512"/>
          <a:ext cx="1485900" cy="100475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7</xdr:col>
      <xdr:colOff>632884</xdr:colOff>
      <xdr:row>3</xdr:row>
      <xdr:rowOff>185208</xdr:rowOff>
    </xdr:from>
    <xdr:to>
      <xdr:col>11</xdr:col>
      <xdr:colOff>933029</xdr:colOff>
      <xdr:row>5</xdr:row>
      <xdr:rowOff>352292</xdr:rowOff>
    </xdr:to>
    <xdr:pic>
      <xdr:nvPicPr>
        <xdr:cNvPr id="4" name="Picture 3">
          <a:extLst>
            <a:ext uri="{FF2B5EF4-FFF2-40B4-BE49-F238E27FC236}">
              <a16:creationId xmlns:a16="http://schemas.microsoft.com/office/drawing/2014/main" id="{878B7CAE-5AE8-9913-715A-5B9A9A75FD72}"/>
            </a:ext>
          </a:extLst>
        </xdr:cNvPr>
        <xdr:cNvPicPr>
          <a:picLocks noChangeAspect="1"/>
        </xdr:cNvPicPr>
      </xdr:nvPicPr>
      <xdr:blipFill>
        <a:blip xmlns:r="http://schemas.openxmlformats.org/officeDocument/2006/relationships" r:embed="rId1"/>
        <a:stretch>
          <a:fillRect/>
        </a:stretch>
      </xdr:blipFill>
      <xdr:spPr>
        <a:xfrm>
          <a:off x="8214784" y="756708"/>
          <a:ext cx="3887259" cy="601568"/>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3" xr:uid="{3EA172AF-5FDE-42C1-88ED-931A1B38644C}" name="Table195781011121314236172728151617187202324" displayName="Table195781011121314236172728151617187202324" ref="A11:K15" totalsRowShown="0" headerRowDxfId="48" headerRowBorderDxfId="47" tableBorderDxfId="46" totalsRowBorderDxfId="45">
  <tableColumns count="11">
    <tableColumn id="1" xr3:uid="{CDD2BD09-6CDD-4FB3-98A7-E5BB2AF560DE}" name="a" dataDxfId="44" dataCellStyle="Normal 2 3"/>
    <tableColumn id="2" xr3:uid="{43F1272E-27AF-472F-BCAA-2D7AB658F432}" name="b" dataDxfId="43" dataCellStyle="Normal 2 3">
      <calculatedColumnFormula>INDEX('S-Treatment'!$C$6:$C$9,MATCH(Table195781011121314236172728151617187202324[[#This Row],[a]],'S-Treatment'!$B$6:$B$9,0))</calculatedColumnFormula>
    </tableColumn>
    <tableColumn id="4" xr3:uid="{7D69C244-43DB-4CBC-8ECD-003ED502D29B}" name="c" dataDxfId="42">
      <calculatedColumnFormula>INDEX('S-Treatment'!$F$6:$F$9,MATCH(Table195781011121314236172728151617187202324[[#This Row],[a]],'S-Treatment'!$B$6:$B$9,0))</calculatedColumnFormula>
    </tableColumn>
    <tableColumn id="5" xr3:uid="{33D25F05-F2A1-4320-8451-D4890C783E2B}" name="d" dataDxfId="41" dataCellStyle="Normal 2">
      <calculatedColumnFormula>INDEX('S-Treatment'!$G$6:$G$9,MATCH(Table195781011121314236172728151617187202324[[#This Row],[a]],'S-Treatment'!$B$6:$B$9,0))</calculatedColumnFormula>
    </tableColumn>
    <tableColumn id="6" xr3:uid="{A79B430C-8CF9-42B0-9057-A4E85D2AAEBA}" name="e" dataDxfId="40">
      <calculatedColumnFormula>(D12-C12)+1</calculatedColumnFormula>
    </tableColumn>
    <tableColumn id="7" xr3:uid="{DA87F04B-E0E5-4167-82AB-74CA829064F8}" name="f" dataDxfId="39" dataCellStyle="Currency">
      <calculatedColumnFormula>INDEX('S-Treatment'!$K$6:$K$9,MATCH(Table195781011121314236172728151617187202324[[#This Row],[a]],'S-Treatment'!$B$6:$B$9,0))</calculatedColumnFormula>
    </tableColumn>
    <tableColumn id="8" xr3:uid="{D383A83F-FAB7-4A14-BA4E-8D83903C547B}" name="g" dataDxfId="38" dataCellStyle="Currency"/>
    <tableColumn id="3" xr3:uid="{10D9457F-0B97-481B-A010-A75D47212ACD}" name="h" dataDxfId="37">
      <calculatedColumnFormula>+Table195781011121314236172728151617187202324[[#This Row],[f]]-Table195781011121314236172728151617187202324[[#This Row],[g]]</calculatedColumnFormula>
    </tableColumn>
    <tableColumn id="12" xr3:uid="{71067D18-FBF2-4012-BF0E-DAE1568A92F4}" name="i" dataDxfId="36" dataCellStyle="Percent">
      <calculatedColumnFormula>INDEX('S-Treatment'!$H$6:$H$9,MATCH(Table195781011121314236172728151617187202324[[#This Row],[a]],'S-Treatment'!$B$6:$B$9,0))</calculatedColumnFormula>
    </tableColumn>
    <tableColumn id="10" xr3:uid="{E47FC4C1-3AFE-4A59-964B-C2AD7405B752}" name="j" dataDxfId="35" dataCellStyle="Percent">
      <calculatedColumnFormula>1-Table195781011121314236172728151617187202324[[#This Row],[i]]</calculatedColumnFormula>
    </tableColumn>
    <tableColumn id="11" xr3:uid="{91103F57-ECD4-4BF6-8B9E-BECC08F926CC}" name="k" dataDxfId="34">
      <calculatedColumnFormula>(Table195781011121314236172728151617187202324[[#This Row],[h]]*Table195781011121314236172728151617187202324[[#This Row],[i]])</calculatedColumnFormula>
    </tableColumn>
  </tableColumns>
  <tableStyleInfo name="TableStyleMedium15"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5" xr:uid="{53DEEF01-73CF-4263-BAA4-8DEB44A1ADCC}" name="Table19578101112131423617272815161718726" displayName="Table19578101112131423617272815161718726" ref="A11:K19" totalsRowShown="0" headerRowDxfId="33" headerRowBorderDxfId="32" tableBorderDxfId="31" totalsRowBorderDxfId="30">
  <tableColumns count="11">
    <tableColumn id="1" xr3:uid="{62028EA1-BA0E-47B0-941C-97992CFE3293}" name="a" dataDxfId="29" dataCellStyle="Normal 2">
      <calculatedColumnFormula>'S-Collection'!B6</calculatedColumnFormula>
    </tableColumn>
    <tableColumn id="2" xr3:uid="{932584D8-18E2-41BA-AF0F-035FFA992885}" name="b" dataDxfId="28" dataCellStyle="Normal 2">
      <calculatedColumnFormula>INDEX('S-Collection'!$C$6:$C$32,MATCH(Table19578101112131423617272815161718726[[#This Row],[a]],'S-Collection'!$B$6:$B$32,0))</calculatedColumnFormula>
    </tableColumn>
    <tableColumn id="4" xr3:uid="{82F6D429-E758-4DAF-BC50-FA12B59ECEE4}" name="c" dataDxfId="27">
      <calculatedColumnFormula>INDEX('S-Collection'!$F$6:$F$32,MATCH(Table19578101112131423617272815161718726[[#This Row],[a]],'S-Collection'!$B$6:$B$32,0))</calculatedColumnFormula>
    </tableColumn>
    <tableColumn id="5" xr3:uid="{3F3503DB-C1C0-4B7C-9534-53F1AADAB1F7}" name="d" dataDxfId="26" dataCellStyle="Normal 2">
      <calculatedColumnFormula>INDEX('S-Collection'!$G$6:$G$32,MATCH(Table19578101112131423617272815161718726[[#This Row],[a]],'S-Collection'!$B$6:$B$32,0))</calculatedColumnFormula>
    </tableColumn>
    <tableColumn id="6" xr3:uid="{5C712554-D789-4EE0-988B-7F984ABC6358}" name="e" dataDxfId="25">
      <calculatedColumnFormula>(D12-C12)+1</calculatedColumnFormula>
    </tableColumn>
    <tableColumn id="7" xr3:uid="{AFE78CDB-27DF-486D-AAED-C452A9479CF4}" name="f" dataDxfId="24" dataCellStyle="Currency">
      <calculatedColumnFormula>INDEX('S-Collection'!$K$6:$K$32,MATCH(Table19578101112131423617272815161718726[[#This Row],[a]],'S-Collection'!$B$6:$B$32,0))</calculatedColumnFormula>
    </tableColumn>
    <tableColumn id="8" xr3:uid="{89D0F565-177C-4581-BD22-A00CB0D4ABA4}" name="g" dataDxfId="23" dataCellStyle="Currency"/>
    <tableColumn id="3" xr3:uid="{1BC33561-AE1B-42F8-9C96-7D968431BAD9}" name="h" dataDxfId="22">
      <calculatedColumnFormula>+Table19578101112131423617272815161718726[[#This Row],[f]]-Table19578101112131423617272815161718726[[#This Row],[g]]</calculatedColumnFormula>
    </tableColumn>
    <tableColumn id="12" xr3:uid="{12AC7339-E36E-4A5B-BCEB-87167AE98B68}" name="i" dataDxfId="21" dataCellStyle="Percent">
      <calculatedColumnFormula>INDEX('S-Collection'!$H$6:$H$32,MATCH(Table19578101112131423617272815161718726[[#This Row],[a]],'S-Collection'!$B$6:$B$32,0))</calculatedColumnFormula>
    </tableColumn>
    <tableColumn id="10" xr3:uid="{50174BA2-F6F9-4C26-95EB-C99F80093217}" name="j" dataDxfId="20" dataCellStyle="Percent">
      <calculatedColumnFormula>1-Table19578101112131423617272815161718726[[#This Row],[i]]</calculatedColumnFormula>
    </tableColumn>
    <tableColumn id="11" xr3:uid="{F971F710-16BF-4A41-9021-ABBC08535E8A}" name="k" dataDxfId="19">
      <calculatedColumnFormula>(Table19578101112131423617272815161718726[[#This Row],[h]]*Table19578101112131423617272815161718726[[#This Row],[i]])</calculatedColumnFormula>
    </tableColumn>
  </tableColumns>
  <tableStyleInfo name="TableStyleMedium15"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388FDB70-3F16-4487-8B34-9AF23912E19B}" name="Table195781011121314236172728151617187" displayName="Table195781011121314236172728151617187" ref="A11:K33" totalsRowShown="0" headerRowDxfId="18" headerRowBorderDxfId="17" tableBorderDxfId="16" totalsRowBorderDxfId="15">
  <tableColumns count="11">
    <tableColumn id="1" xr3:uid="{8A6B411F-9AF6-4D43-A958-B3C4F9D6B3B0}" name="a" dataDxfId="14" dataCellStyle="Normal 2"/>
    <tableColumn id="2" xr3:uid="{73B8234A-09BD-4315-A978-786D1E49C0E1}" name="b" dataDxfId="13" dataCellStyle="Normal 2">
      <calculatedColumnFormula>INDEX('S-Collection'!$C$6:$C$41,MATCH(Table195781011121314236172728151617187[[#This Row],[a]],'S-Collection'!$B$6:$B$41,0))</calculatedColumnFormula>
    </tableColumn>
    <tableColumn id="4" xr3:uid="{0611342A-C2E1-492B-9536-D972A3221DE2}" name="c" dataDxfId="12">
      <calculatedColumnFormula>INDEX('S-Collection'!$F$6:$F$41,MATCH(Table195781011121314236172728151617187[[#This Row],[a]],'S-Collection'!$B$6:$B$41,0))</calculatedColumnFormula>
    </tableColumn>
    <tableColumn id="5" xr3:uid="{65A4D98A-4DA0-4FE9-B8E6-FE2D8AD174AA}" name="d" dataDxfId="11" dataCellStyle="Normal 2">
      <calculatedColumnFormula>INDEX('S-Collection'!$G$6:$G$41,MATCH(Table195781011121314236172728151617187[[#This Row],[a]],'S-Collection'!$B$6:$B$41,0))</calculatedColumnFormula>
    </tableColumn>
    <tableColumn id="6" xr3:uid="{BA39DE57-ED40-42EC-958B-E31208FB9C1A}" name="e" dataDxfId="10">
      <calculatedColumnFormula>(D12-C12)+1</calculatedColumnFormula>
    </tableColumn>
    <tableColumn id="7" xr3:uid="{0BFE8127-580C-438B-9A38-47874E2EFCBC}" name="f" dataDxfId="9" dataCellStyle="Currency">
      <calculatedColumnFormula>INDEX('S-Collection'!$P$6:$P$41,MATCH(Table195781011121314236172728151617187[[#This Row],[a]],'S-Collection'!$B$6:$B$41,0))</calculatedColumnFormula>
    </tableColumn>
    <tableColumn id="8" xr3:uid="{48418EB5-22FD-4DA9-83A2-C55358A12BF4}" name="g" dataDxfId="8" dataCellStyle="Currency"/>
    <tableColumn id="3" xr3:uid="{6E780873-E4EE-46C5-B614-B547803B164F}" name="h" dataDxfId="7">
      <calculatedColumnFormula>+Table195781011121314236172728151617187[[#This Row],[f]]-Table195781011121314236172728151617187[[#This Row],[g]]</calculatedColumnFormula>
    </tableColumn>
    <tableColumn id="12" xr3:uid="{7193EABD-7097-4445-AA90-B8604D38C9B1}" name="i" dataDxfId="6" dataCellStyle="Percent"/>
    <tableColumn id="10" xr3:uid="{D94BD333-66CB-49B0-9628-DEBD90C8A975}" name="j" dataDxfId="5" dataCellStyle="Percent"/>
    <tableColumn id="11" xr3:uid="{26150243-B239-4660-A687-EC54AEFDE91D}" name="k" dataDxfId="4">
      <calculatedColumnFormula>(Table195781011121314236172728151617187[[#This Row],[h]])</calculatedColumnFormula>
    </tableColumn>
  </tableColumns>
  <tableStyleInfo name="TableStyleMedium15"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3B3C64-E4D5-4B7F-8AEE-78C03EA01DC0}">
  <sheetPr codeName="Sheet1"/>
  <dimension ref="A1:N13"/>
  <sheetViews>
    <sheetView showGridLines="0" tabSelected="1" workbookViewId="0">
      <selection activeCell="A16" sqref="A16"/>
    </sheetView>
  </sheetViews>
  <sheetFormatPr defaultRowHeight="14.4"/>
  <cols>
    <col min="1" max="1" width="31" customWidth="1"/>
    <col min="2" max="2" width="141.6640625" customWidth="1"/>
  </cols>
  <sheetData>
    <row r="1" spans="1:14" ht="22.2" thickBot="1">
      <c r="A1" s="714" t="s">
        <v>246</v>
      </c>
      <c r="B1" s="715"/>
    </row>
    <row r="2" spans="1:14" ht="77.25" customHeight="1">
      <c r="A2" s="716" t="s">
        <v>314</v>
      </c>
      <c r="B2" s="717"/>
      <c r="C2" s="350"/>
      <c r="D2" s="350"/>
      <c r="E2" s="350"/>
      <c r="F2" s="350"/>
      <c r="G2" s="350"/>
      <c r="H2" s="350"/>
      <c r="I2" s="350"/>
      <c r="J2" s="350"/>
      <c r="K2" s="350"/>
      <c r="L2" s="350"/>
      <c r="M2" s="350"/>
    </row>
    <row r="3" spans="1:14" ht="16.8">
      <c r="A3" s="636"/>
      <c r="B3" s="636"/>
    </row>
    <row r="4" spans="1:14" ht="15">
      <c r="A4" s="637" t="s">
        <v>248</v>
      </c>
      <c r="B4" s="637" t="s">
        <v>247</v>
      </c>
    </row>
    <row r="5" spans="1:14" ht="28.5" customHeight="1">
      <c r="A5" s="638" t="s">
        <v>265</v>
      </c>
      <c r="B5" s="639" t="s">
        <v>315</v>
      </c>
    </row>
    <row r="6" spans="1:14" ht="28.8">
      <c r="A6" s="638" t="s">
        <v>249</v>
      </c>
      <c r="B6" s="639" t="s">
        <v>266</v>
      </c>
    </row>
    <row r="7" spans="1:14" ht="30" customHeight="1">
      <c r="A7" s="638" t="s">
        <v>250</v>
      </c>
      <c r="B7" s="639" t="s">
        <v>253</v>
      </c>
    </row>
    <row r="8" spans="1:14" ht="28.8">
      <c r="A8" s="638" t="s">
        <v>252</v>
      </c>
      <c r="B8" s="639" t="s">
        <v>254</v>
      </c>
    </row>
    <row r="9" spans="1:14" ht="23.25" customHeight="1">
      <c r="A9" s="638" t="s">
        <v>255</v>
      </c>
      <c r="B9" s="639" t="s">
        <v>316</v>
      </c>
    </row>
    <row r="10" spans="1:14" ht="28.8">
      <c r="A10" s="638" t="s">
        <v>256</v>
      </c>
      <c r="B10" s="639" t="s">
        <v>267</v>
      </c>
    </row>
    <row r="11" spans="1:14">
      <c r="A11" s="638" t="s">
        <v>257</v>
      </c>
      <c r="B11" s="639" t="s">
        <v>258</v>
      </c>
    </row>
    <row r="12" spans="1:14" ht="15" thickBot="1">
      <c r="A12" s="357"/>
      <c r="B12" s="357"/>
    </row>
    <row r="13" spans="1:14" s="394" customFormat="1" ht="134.25" customHeight="1" thickBot="1">
      <c r="A13" s="634" t="s">
        <v>306</v>
      </c>
      <c r="B13" s="635" t="s">
        <v>307</v>
      </c>
      <c r="C13"/>
      <c r="D13"/>
      <c r="E13"/>
      <c r="F13"/>
      <c r="G13"/>
      <c r="H13"/>
      <c r="I13"/>
      <c r="J13"/>
      <c r="K13"/>
      <c r="L13"/>
      <c r="M13"/>
      <c r="N13"/>
    </row>
  </sheetData>
  <mergeCells count="2">
    <mergeCell ref="A1:B1"/>
    <mergeCell ref="A2:B2"/>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5">
    <pageSetUpPr fitToPage="1"/>
  </sheetPr>
  <dimension ref="A1:CC65"/>
  <sheetViews>
    <sheetView showGridLines="0" zoomScale="85" zoomScaleNormal="85" workbookViewId="0">
      <selection activeCell="D15" sqref="D15"/>
    </sheetView>
  </sheetViews>
  <sheetFormatPr defaultColWidth="8.88671875" defaultRowHeight="16.8"/>
  <cols>
    <col min="1" max="1" width="91.5546875" style="394" customWidth="1"/>
    <col min="2" max="2" width="27.109375" style="394" customWidth="1"/>
    <col min="3" max="3" width="13.44140625" style="394" bestFit="1" customWidth="1"/>
    <col min="4" max="4" width="61.109375" style="394" customWidth="1"/>
    <col min="5" max="5" width="5.44140625" style="394" customWidth="1"/>
    <col min="6" max="6" width="4.44140625" style="394" customWidth="1"/>
    <col min="7" max="7" width="8.88671875" style="394"/>
    <col min="8" max="8" width="10.21875" style="394" customWidth="1"/>
    <col min="9" max="9" width="9.44140625" style="394" customWidth="1"/>
    <col min="10" max="10" width="18.6640625" style="394" customWidth="1"/>
    <col min="11" max="11" width="15.44140625" style="394" customWidth="1"/>
    <col min="12" max="12" width="17" style="394" customWidth="1"/>
    <col min="13" max="16384" width="8.88671875" style="394"/>
  </cols>
  <sheetData>
    <row r="1" spans="1:81">
      <c r="A1" s="393" t="s">
        <v>133</v>
      </c>
    </row>
    <row r="3" spans="1:81">
      <c r="A3" s="602" t="s">
        <v>23</v>
      </c>
      <c r="B3" s="603">
        <v>2026</v>
      </c>
      <c r="C3" s="394" t="s">
        <v>24</v>
      </c>
    </row>
    <row r="4" spans="1:81">
      <c r="A4" s="393"/>
      <c r="G4" s="395"/>
      <c r="H4" s="396"/>
      <c r="I4" s="396"/>
      <c r="J4" s="396"/>
      <c r="K4" s="396"/>
      <c r="L4" s="397"/>
    </row>
    <row r="5" spans="1:81">
      <c r="A5" s="387" t="s">
        <v>25</v>
      </c>
      <c r="B5" s="388"/>
      <c r="C5" s="389"/>
      <c r="D5" s="389" t="s">
        <v>275</v>
      </c>
      <c r="G5" s="398" t="s">
        <v>205</v>
      </c>
      <c r="H5" s="399"/>
      <c r="I5" s="399"/>
      <c r="J5" s="399"/>
      <c r="K5" s="399"/>
      <c r="L5" s="400"/>
    </row>
    <row r="6" spans="1:81" ht="33.6">
      <c r="A6" s="390" t="s">
        <v>329</v>
      </c>
      <c r="B6" s="392">
        <f>AVERAGE(K17:K21)</f>
        <v>2.6740000000000003E-2</v>
      </c>
      <c r="C6" s="390" t="s">
        <v>24</v>
      </c>
      <c r="D6" s="601" t="s">
        <v>287</v>
      </c>
      <c r="G6" s="398"/>
      <c r="H6" s="399"/>
      <c r="I6" s="399"/>
      <c r="J6" s="399"/>
      <c r="K6" s="399"/>
      <c r="L6" s="400"/>
      <c r="AA6" s="401"/>
      <c r="AB6" s="718"/>
      <c r="AC6" s="718"/>
    </row>
    <row r="7" spans="1:81" ht="33.6">
      <c r="A7" s="390" t="s">
        <v>330</v>
      </c>
      <c r="B7" s="392">
        <f>AVERAGE(K10:K14)</f>
        <v>4.496E-2</v>
      </c>
      <c r="C7" s="390" t="s">
        <v>24</v>
      </c>
      <c r="D7" s="601" t="s">
        <v>276</v>
      </c>
      <c r="G7" s="398"/>
      <c r="H7" s="399"/>
      <c r="I7" s="399"/>
      <c r="J7" s="399"/>
      <c r="K7" s="399"/>
      <c r="L7" s="400"/>
      <c r="AA7" s="403"/>
    </row>
    <row r="8" spans="1:81" ht="33.6">
      <c r="A8" s="390" t="s">
        <v>331</v>
      </c>
      <c r="B8" s="392">
        <v>0</v>
      </c>
      <c r="C8" s="390" t="s">
        <v>24</v>
      </c>
      <c r="D8" s="601" t="s">
        <v>328</v>
      </c>
      <c r="G8" s="458"/>
      <c r="L8" s="454"/>
      <c r="AA8" s="403"/>
    </row>
    <row r="9" spans="1:81" ht="17.399999999999999" thickBot="1">
      <c r="D9" s="393"/>
      <c r="G9" s="458" t="s">
        <v>206</v>
      </c>
      <c r="J9" s="393" t="s">
        <v>9</v>
      </c>
      <c r="K9" s="393" t="s">
        <v>264</v>
      </c>
      <c r="L9" s="454"/>
      <c r="AA9" s="403"/>
    </row>
    <row r="10" spans="1:81" ht="17.399999999999999" thickBot="1">
      <c r="A10" s="645" t="s">
        <v>119</v>
      </c>
      <c r="B10" s="721" t="s">
        <v>110</v>
      </c>
      <c r="C10" s="722"/>
      <c r="G10" s="458"/>
      <c r="J10" s="599">
        <v>2025</v>
      </c>
      <c r="K10" s="597">
        <v>4.6100000000000002E-2</v>
      </c>
      <c r="L10" s="454"/>
      <c r="AA10" s="403"/>
    </row>
    <row r="11" spans="1:81">
      <c r="A11" s="646"/>
      <c r="B11" s="647" t="s">
        <v>310</v>
      </c>
      <c r="C11" s="648" t="s">
        <v>311</v>
      </c>
      <c r="G11" s="458"/>
      <c r="H11" s="393"/>
      <c r="J11" s="599">
        <v>2024</v>
      </c>
      <c r="K11" s="597">
        <v>5.1900000000000002E-2</v>
      </c>
      <c r="L11" s="454"/>
      <c r="AA11" s="403"/>
    </row>
    <row r="12" spans="1:81">
      <c r="A12" s="390" t="s">
        <v>120</v>
      </c>
      <c r="B12" s="649">
        <v>0.35</v>
      </c>
      <c r="C12" s="650">
        <v>0.5</v>
      </c>
      <c r="G12" s="458"/>
      <c r="J12" s="599">
        <v>2023</v>
      </c>
      <c r="K12" s="597">
        <v>5.2699999999999997E-2</v>
      </c>
      <c r="L12" s="454"/>
      <c r="AA12" s="403"/>
    </row>
    <row r="13" spans="1:81">
      <c r="A13" s="390" t="s">
        <v>121</v>
      </c>
      <c r="B13" s="649">
        <v>0.25</v>
      </c>
      <c r="C13" s="651">
        <v>0.35</v>
      </c>
      <c r="E13" s="393"/>
      <c r="F13" s="393"/>
      <c r="G13" s="458"/>
      <c r="J13" s="599">
        <v>2022</v>
      </c>
      <c r="K13" s="597">
        <v>4.6199999999999998E-2</v>
      </c>
      <c r="L13" s="454"/>
      <c r="AA13" s="401"/>
    </row>
    <row r="14" spans="1:81" ht="17.25" customHeight="1">
      <c r="A14" s="390" t="s">
        <v>122</v>
      </c>
      <c r="B14" s="649">
        <v>0.15</v>
      </c>
      <c r="C14" s="651">
        <v>0.25</v>
      </c>
      <c r="G14" s="458"/>
      <c r="I14" s="600"/>
      <c r="J14" s="599">
        <v>2021</v>
      </c>
      <c r="K14" s="597">
        <v>2.7900000000000001E-2</v>
      </c>
      <c r="L14" s="598"/>
    </row>
    <row r="15" spans="1:81">
      <c r="A15" s="390" t="s">
        <v>123</v>
      </c>
      <c r="B15" s="649">
        <v>0.1</v>
      </c>
      <c r="C15" s="651">
        <v>0.15</v>
      </c>
      <c r="G15" s="458"/>
      <c r="I15" s="600"/>
      <c r="J15" s="600"/>
      <c r="K15" s="600"/>
      <c r="L15" s="598"/>
      <c r="N15" s="404"/>
      <c r="O15" s="404"/>
      <c r="P15" s="404"/>
      <c r="Q15" s="404"/>
      <c r="R15" s="404"/>
      <c r="S15" s="404"/>
      <c r="T15" s="404"/>
      <c r="U15" s="404"/>
      <c r="V15" s="404"/>
      <c r="W15" s="404"/>
      <c r="X15" s="404"/>
      <c r="Y15" s="404"/>
      <c r="Z15" s="404"/>
      <c r="AA15" s="404"/>
      <c r="AB15" s="404"/>
      <c r="AC15" s="404"/>
      <c r="AD15" s="404"/>
      <c r="AE15" s="404"/>
      <c r="AF15" s="404"/>
      <c r="AG15" s="404"/>
      <c r="AH15" s="404"/>
      <c r="AI15" s="404"/>
      <c r="AJ15" s="404"/>
      <c r="AK15" s="404"/>
      <c r="AL15" s="404"/>
      <c r="AM15" s="404"/>
      <c r="AN15" s="404"/>
      <c r="AO15" s="404"/>
      <c r="AP15" s="404"/>
      <c r="AQ15" s="404"/>
      <c r="AR15" s="404"/>
      <c r="AS15" s="404"/>
      <c r="AT15" s="404"/>
      <c r="AU15" s="404"/>
      <c r="AV15" s="404"/>
      <c r="AW15" s="404"/>
      <c r="AX15" s="404"/>
      <c r="AY15" s="404"/>
      <c r="AZ15" s="404"/>
      <c r="BA15" s="404"/>
      <c r="BB15" s="404"/>
      <c r="BC15" s="404"/>
      <c r="BD15" s="404"/>
      <c r="BE15" s="404"/>
      <c r="BF15" s="404"/>
      <c r="BG15" s="404"/>
      <c r="BH15" s="404"/>
      <c r="BI15" s="404"/>
      <c r="BJ15" s="404"/>
      <c r="BK15" s="404"/>
      <c r="BL15" s="404"/>
      <c r="BM15" s="404"/>
      <c r="BN15" s="404"/>
      <c r="BO15" s="404"/>
      <c r="BP15" s="404"/>
      <c r="BQ15" s="404"/>
      <c r="BR15" s="404"/>
      <c r="BS15" s="404"/>
      <c r="BT15" s="404"/>
      <c r="BU15" s="404"/>
      <c r="BV15" s="404"/>
      <c r="BW15" s="404"/>
      <c r="BX15" s="404"/>
      <c r="BY15" s="404"/>
      <c r="BZ15" s="404"/>
      <c r="CA15" s="404"/>
      <c r="CB15" s="404"/>
      <c r="CC15" s="404"/>
    </row>
    <row r="16" spans="1:81">
      <c r="G16" s="458" t="s">
        <v>285</v>
      </c>
      <c r="I16" s="600"/>
      <c r="J16" s="393" t="s">
        <v>9</v>
      </c>
      <c r="K16" s="393" t="s">
        <v>286</v>
      </c>
      <c r="L16" s="598"/>
      <c r="N16" s="405"/>
      <c r="O16" s="405"/>
      <c r="P16" s="405"/>
      <c r="Q16" s="405"/>
      <c r="R16" s="405"/>
      <c r="S16" s="405"/>
      <c r="T16" s="405"/>
      <c r="U16" s="405"/>
      <c r="V16" s="405"/>
      <c r="W16" s="405"/>
      <c r="X16" s="405"/>
      <c r="Y16" s="405"/>
      <c r="Z16" s="405"/>
      <c r="AA16" s="405"/>
      <c r="AB16" s="405"/>
      <c r="AC16" s="405"/>
      <c r="AD16" s="405"/>
      <c r="AE16" s="405"/>
      <c r="AF16" s="405"/>
      <c r="AG16" s="405"/>
      <c r="AH16" s="405"/>
      <c r="AI16" s="405"/>
      <c r="AJ16" s="405"/>
      <c r="AK16" s="405"/>
      <c r="AL16" s="405"/>
      <c r="AM16" s="405"/>
      <c r="AN16" s="405"/>
      <c r="AO16" s="405"/>
      <c r="AP16" s="405"/>
      <c r="AQ16" s="405"/>
      <c r="AR16" s="405"/>
      <c r="AS16" s="405"/>
      <c r="AT16" s="405"/>
      <c r="AU16" s="405"/>
      <c r="AV16" s="405"/>
      <c r="AW16" s="405"/>
      <c r="AX16" s="405"/>
      <c r="AY16" s="405"/>
      <c r="AZ16" s="405"/>
      <c r="BA16" s="405"/>
      <c r="BB16" s="405"/>
      <c r="BC16" s="405"/>
      <c r="BD16" s="405"/>
      <c r="BE16" s="405"/>
      <c r="BF16" s="405"/>
      <c r="BG16" s="405"/>
      <c r="BH16" s="405"/>
      <c r="BI16" s="405"/>
      <c r="BJ16" s="405"/>
      <c r="BK16" s="405"/>
      <c r="BL16" s="405"/>
      <c r="BM16" s="405"/>
      <c r="BN16" s="405"/>
      <c r="BO16" s="405"/>
      <c r="BP16" s="405"/>
      <c r="BQ16" s="405"/>
      <c r="BR16" s="405"/>
      <c r="BS16" s="405"/>
      <c r="BT16" s="405"/>
      <c r="BU16" s="405"/>
      <c r="BV16" s="405"/>
      <c r="BW16" s="405"/>
      <c r="BX16" s="405"/>
      <c r="BY16" s="405"/>
      <c r="BZ16" s="405"/>
      <c r="CA16" s="405"/>
      <c r="CB16" s="405"/>
      <c r="CC16" s="405"/>
    </row>
    <row r="17" spans="1:12" ht="15" customHeight="1">
      <c r="A17" s="719" t="s">
        <v>288</v>
      </c>
      <c r="B17" s="720"/>
      <c r="G17" s="458"/>
      <c r="J17" s="599">
        <v>2025</v>
      </c>
      <c r="K17" s="406">
        <v>3.0599999999999999E-2</v>
      </c>
      <c r="L17" s="454"/>
    </row>
    <row r="18" spans="1:12">
      <c r="A18" s="609" t="s">
        <v>289</v>
      </c>
      <c r="B18" s="391">
        <v>2.5000000000000001E-2</v>
      </c>
      <c r="G18" s="458"/>
      <c r="J18" s="599">
        <v>2024</v>
      </c>
      <c r="K18" s="406">
        <v>2.75E-2</v>
      </c>
      <c r="L18" s="454"/>
    </row>
    <row r="19" spans="1:12">
      <c r="A19" s="390" t="s">
        <v>290</v>
      </c>
      <c r="B19" s="391">
        <v>2.5000000000000001E-2</v>
      </c>
      <c r="G19" s="458"/>
      <c r="J19" s="599">
        <v>2023</v>
      </c>
      <c r="K19" s="406">
        <v>2.8500000000000001E-2</v>
      </c>
      <c r="L19" s="454"/>
    </row>
    <row r="20" spans="1:12">
      <c r="A20" s="390" t="s">
        <v>291</v>
      </c>
      <c r="B20" s="391">
        <v>0.05</v>
      </c>
      <c r="G20" s="458"/>
      <c r="J20" s="599">
        <v>2022</v>
      </c>
      <c r="K20" s="406">
        <v>2.1999999999999999E-2</v>
      </c>
      <c r="L20" s="454"/>
    </row>
    <row r="21" spans="1:12">
      <c r="G21" s="604"/>
      <c r="H21" s="605"/>
      <c r="I21" s="605"/>
      <c r="J21" s="606">
        <v>2021</v>
      </c>
      <c r="K21" s="607">
        <v>2.5100000000000001E-2</v>
      </c>
      <c r="L21" s="608"/>
    </row>
    <row r="22" spans="1:12">
      <c r="A22" s="719" t="s">
        <v>131</v>
      </c>
      <c r="B22" s="720"/>
    </row>
    <row r="23" spans="1:12">
      <c r="A23" s="610" t="s">
        <v>132</v>
      </c>
      <c r="B23" s="611">
        <v>0.02</v>
      </c>
    </row>
    <row r="24" spans="1:12">
      <c r="J24" s="406"/>
      <c r="K24" s="405"/>
    </row>
    <row r="25" spans="1:12">
      <c r="A25" s="691" t="s">
        <v>28</v>
      </c>
      <c r="B25" s="691"/>
      <c r="J25" s="406"/>
      <c r="K25" s="405"/>
    </row>
    <row r="26" spans="1:12">
      <c r="A26" s="692" t="s">
        <v>322</v>
      </c>
      <c r="B26" s="693">
        <v>0.4</v>
      </c>
      <c r="J26" s="406"/>
      <c r="K26" s="405"/>
    </row>
    <row r="27" spans="1:12">
      <c r="A27" s="692" t="s">
        <v>323</v>
      </c>
      <c r="B27" s="693">
        <v>0.3</v>
      </c>
      <c r="J27" s="406"/>
      <c r="K27" s="405"/>
    </row>
    <row r="28" spans="1:12">
      <c r="A28" s="692" t="s">
        <v>324</v>
      </c>
      <c r="B28" s="693">
        <v>0.3</v>
      </c>
      <c r="J28" s="406"/>
      <c r="K28" s="405"/>
    </row>
    <row r="29" spans="1:12" ht="17.399999999999999" thickBot="1"/>
    <row r="30" spans="1:12">
      <c r="A30" s="407" t="s">
        <v>200</v>
      </c>
      <c r="B30" s="408"/>
    </row>
    <row r="31" spans="1:12">
      <c r="A31" s="652" t="s">
        <v>42</v>
      </c>
      <c r="B31" s="653">
        <f>SUM(B32:B33)</f>
        <v>-17084176.36783712</v>
      </c>
    </row>
    <row r="32" spans="1:12">
      <c r="A32" s="654" t="s">
        <v>47</v>
      </c>
      <c r="B32" s="655">
        <f>'2026 Collections Summary'!B2</f>
        <v>-2006461.6439526761</v>
      </c>
    </row>
    <row r="33" spans="1:13">
      <c r="A33" s="654" t="s">
        <v>48</v>
      </c>
      <c r="B33" s="655">
        <f>'2026 Collections Summary'!B3</f>
        <v>-15077714.723884443</v>
      </c>
    </row>
    <row r="34" spans="1:13" ht="17.399999999999999" thickBot="1">
      <c r="A34" s="662" t="s">
        <v>312</v>
      </c>
      <c r="B34" s="663">
        <v>0</v>
      </c>
    </row>
    <row r="39" spans="1:13">
      <c r="M39" s="404"/>
    </row>
    <row r="40" spans="1:13">
      <c r="M40" s="405"/>
    </row>
    <row r="46" spans="1:13">
      <c r="J46" s="406"/>
      <c r="K46" s="405"/>
    </row>
    <row r="47" spans="1:13">
      <c r="J47" s="406"/>
      <c r="K47" s="405"/>
    </row>
    <row r="48" spans="1:13">
      <c r="J48" s="406"/>
      <c r="K48" s="405"/>
    </row>
    <row r="49" spans="10:11">
      <c r="J49" s="406"/>
      <c r="K49" s="405"/>
    </row>
    <row r="50" spans="10:11">
      <c r="J50" s="406"/>
      <c r="K50" s="405"/>
    </row>
    <row r="51" spans="10:11">
      <c r="J51" s="406"/>
      <c r="K51" s="405"/>
    </row>
    <row r="52" spans="10:11">
      <c r="J52" s="406"/>
      <c r="K52" s="405"/>
    </row>
    <row r="53" spans="10:11">
      <c r="J53" s="406"/>
      <c r="K53" s="405"/>
    </row>
    <row r="54" spans="10:11">
      <c r="J54" s="406"/>
      <c r="K54" s="405"/>
    </row>
    <row r="55" spans="10:11">
      <c r="J55" s="406"/>
      <c r="K55" s="405"/>
    </row>
    <row r="56" spans="10:11">
      <c r="J56" s="406"/>
      <c r="K56" s="405"/>
    </row>
    <row r="57" spans="10:11">
      <c r="J57" s="406"/>
      <c r="K57" s="405"/>
    </row>
    <row r="58" spans="10:11">
      <c r="J58" s="406"/>
      <c r="K58" s="405"/>
    </row>
    <row r="59" spans="10:11">
      <c r="J59" s="406"/>
      <c r="K59" s="405"/>
    </row>
    <row r="60" spans="10:11">
      <c r="J60" s="406"/>
      <c r="K60" s="405"/>
    </row>
    <row r="61" spans="10:11">
      <c r="J61" s="406"/>
      <c r="K61" s="405"/>
    </row>
    <row r="62" spans="10:11">
      <c r="J62" s="406"/>
      <c r="K62" s="405"/>
    </row>
    <row r="63" spans="10:11">
      <c r="J63" s="406"/>
      <c r="K63" s="405"/>
    </row>
    <row r="64" spans="10:11">
      <c r="J64" s="406"/>
      <c r="K64" s="405"/>
    </row>
    <row r="65" spans="10:11">
      <c r="J65" s="406"/>
      <c r="K65" s="405"/>
    </row>
  </sheetData>
  <mergeCells count="4">
    <mergeCell ref="AB6:AC6"/>
    <mergeCell ref="A17:B17"/>
    <mergeCell ref="A22:B22"/>
    <mergeCell ref="B10:C10"/>
  </mergeCells>
  <pageMargins left="0.7" right="0.7" top="0.75" bottom="0.75" header="0.3" footer="0.3"/>
  <pageSetup scale="11"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2B2B69-449F-4FB5-A307-435745AFF342}">
  <sheetPr codeName="Sheet2"/>
  <dimension ref="A1:E16"/>
  <sheetViews>
    <sheetView showGridLines="0" workbookViewId="0">
      <selection activeCell="I14" sqref="I14"/>
    </sheetView>
  </sheetViews>
  <sheetFormatPr defaultRowHeight="14.4"/>
  <cols>
    <col min="2" max="2" width="13.44140625" customWidth="1"/>
    <col min="3" max="3" width="10.5546875" customWidth="1"/>
    <col min="4" max="4" width="12.109375" customWidth="1"/>
    <col min="5" max="5" width="12" customWidth="1"/>
    <col min="6" max="6" width="13.6640625" customWidth="1"/>
    <col min="7" max="7" width="9.109375" customWidth="1"/>
    <col min="8" max="8" width="22.6640625" customWidth="1"/>
    <col min="9" max="9" width="13" customWidth="1"/>
    <col min="10" max="10" width="13.109375" customWidth="1"/>
  </cols>
  <sheetData>
    <row r="1" spans="1:5" ht="16.8">
      <c r="A1" s="393"/>
    </row>
    <row r="2" spans="1:5" ht="15" thickBot="1"/>
    <row r="3" spans="1:5">
      <c r="B3" s="726" t="s">
        <v>147</v>
      </c>
      <c r="C3" s="727"/>
      <c r="D3" s="727"/>
      <c r="E3" s="728"/>
    </row>
    <row r="4" spans="1:5">
      <c r="B4" s="424" t="s">
        <v>135</v>
      </c>
      <c r="C4" s="423"/>
      <c r="D4" s="423"/>
      <c r="E4" s="425"/>
    </row>
    <row r="5" spans="1:5">
      <c r="B5" s="426"/>
      <c r="C5" s="427"/>
      <c r="D5" s="427"/>
      <c r="E5" s="428"/>
    </row>
    <row r="6" spans="1:5">
      <c r="B6" s="723" t="s">
        <v>153</v>
      </c>
      <c r="C6" s="724"/>
      <c r="D6" s="724"/>
      <c r="E6" s="725"/>
    </row>
    <row r="7" spans="1:5">
      <c r="B7" s="430" t="s">
        <v>78</v>
      </c>
      <c r="C7" s="422" t="s">
        <v>79</v>
      </c>
      <c r="D7" s="422" t="s">
        <v>80</v>
      </c>
      <c r="E7" s="431" t="s">
        <v>85</v>
      </c>
    </row>
    <row r="8" spans="1:5">
      <c r="B8" s="694">
        <v>300</v>
      </c>
      <c r="C8" s="695" t="s">
        <v>81</v>
      </c>
      <c r="D8" s="696">
        <v>373</v>
      </c>
      <c r="E8" s="697" t="s">
        <v>82</v>
      </c>
    </row>
    <row r="9" spans="1:5">
      <c r="B9" s="429">
        <v>375</v>
      </c>
      <c r="C9" s="427" t="s">
        <v>81</v>
      </c>
      <c r="D9" s="432">
        <v>427</v>
      </c>
      <c r="E9" s="428" t="s">
        <v>82</v>
      </c>
    </row>
    <row r="10" spans="1:5">
      <c r="B10" s="429">
        <v>450</v>
      </c>
      <c r="C10" s="427" t="s">
        <v>81</v>
      </c>
      <c r="D10" s="432">
        <v>493</v>
      </c>
      <c r="E10" s="428" t="s">
        <v>82</v>
      </c>
    </row>
    <row r="11" spans="1:5">
      <c r="B11" s="429">
        <v>525</v>
      </c>
      <c r="C11" s="427" t="s">
        <v>81</v>
      </c>
      <c r="D11" s="432">
        <v>579</v>
      </c>
      <c r="E11" s="428" t="s">
        <v>82</v>
      </c>
    </row>
    <row r="12" spans="1:5">
      <c r="B12" s="429">
        <v>600</v>
      </c>
      <c r="C12" s="427" t="s">
        <v>81</v>
      </c>
      <c r="D12" s="432">
        <v>669</v>
      </c>
      <c r="E12" s="428" t="s">
        <v>82</v>
      </c>
    </row>
    <row r="13" spans="1:5">
      <c r="B13" s="429">
        <v>675</v>
      </c>
      <c r="C13" s="427" t="s">
        <v>81</v>
      </c>
      <c r="D13" s="432">
        <v>736</v>
      </c>
      <c r="E13" s="428" t="s">
        <v>82</v>
      </c>
    </row>
    <row r="14" spans="1:5">
      <c r="B14" s="429">
        <v>750</v>
      </c>
      <c r="C14" s="427" t="s">
        <v>83</v>
      </c>
      <c r="D14" s="432">
        <v>901</v>
      </c>
      <c r="E14" s="428" t="s">
        <v>84</v>
      </c>
    </row>
    <row r="15" spans="1:5">
      <c r="B15" s="429">
        <v>900</v>
      </c>
      <c r="C15" s="427" t="s">
        <v>83</v>
      </c>
      <c r="D15" s="432">
        <v>1091</v>
      </c>
      <c r="E15" s="428" t="s">
        <v>84</v>
      </c>
    </row>
    <row r="16" spans="1:5" ht="15" thickBot="1">
      <c r="B16" s="433">
        <v>1050</v>
      </c>
      <c r="C16" s="434" t="s">
        <v>83</v>
      </c>
      <c r="D16" s="435">
        <v>1307</v>
      </c>
      <c r="E16" s="436" t="s">
        <v>84</v>
      </c>
    </row>
  </sheetData>
  <mergeCells count="2">
    <mergeCell ref="B6:E6"/>
    <mergeCell ref="B3:E3"/>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E97609-5CD0-4EFA-B073-8EE6C0E033B0}">
  <sheetPr codeName="Sheet4"/>
  <dimension ref="A1:H34"/>
  <sheetViews>
    <sheetView showGridLines="0" zoomScale="80" zoomScaleNormal="80" workbookViewId="0">
      <selection activeCell="M18" sqref="M18"/>
    </sheetView>
  </sheetViews>
  <sheetFormatPr defaultRowHeight="14.4"/>
  <cols>
    <col min="1" max="1" width="41" customWidth="1"/>
    <col min="2" max="2" width="28" customWidth="1"/>
    <col min="3" max="3" width="22.109375" customWidth="1"/>
    <col min="4" max="4" width="28.88671875" customWidth="1"/>
  </cols>
  <sheetData>
    <row r="1" spans="1:8" ht="16.2">
      <c r="A1" s="730" t="s">
        <v>209</v>
      </c>
      <c r="B1" s="730"/>
    </row>
    <row r="2" spans="1:8" ht="16.2">
      <c r="A2" s="656" t="s">
        <v>210</v>
      </c>
      <c r="B2" s="657">
        <v>-2006461.6439526761</v>
      </c>
    </row>
    <row r="3" spans="1:8" ht="15" customHeight="1">
      <c r="A3" s="656" t="s">
        <v>211</v>
      </c>
      <c r="B3" s="657">
        <v>-15077714.723884443</v>
      </c>
    </row>
    <row r="5" spans="1:8" ht="17.399999999999999" thickBot="1">
      <c r="A5" s="593" t="s">
        <v>228</v>
      </c>
      <c r="B5" s="593"/>
      <c r="C5" s="593"/>
      <c r="D5" s="593"/>
    </row>
    <row r="6" spans="1:8" ht="53.25" customHeight="1">
      <c r="A6" s="616" t="s">
        <v>212</v>
      </c>
      <c r="B6" s="245" t="s">
        <v>210</v>
      </c>
      <c r="C6" s="245" t="s">
        <v>211</v>
      </c>
      <c r="D6" s="617" t="s">
        <v>213</v>
      </c>
    </row>
    <row r="7" spans="1:8" ht="16.8">
      <c r="A7" s="409" t="s">
        <v>231</v>
      </c>
      <c r="B7" s="412">
        <f>37126*D7</f>
        <v>701124.51</v>
      </c>
      <c r="C7" s="412">
        <f>44082*D7</f>
        <v>832488.57000000007</v>
      </c>
      <c r="D7" s="413">
        <v>18.885000000000002</v>
      </c>
      <c r="F7" s="394"/>
      <c r="G7" s="394"/>
      <c r="H7" s="394" t="s">
        <v>309</v>
      </c>
    </row>
    <row r="8" spans="1:8" ht="16.8">
      <c r="A8" s="411" t="s">
        <v>232</v>
      </c>
      <c r="B8" s="410">
        <f>37126*D8</f>
        <v>461030.66799999995</v>
      </c>
      <c r="C8" s="410">
        <f t="shared" ref="C8:C9" si="0">44082*D8</f>
        <v>547410.27599999995</v>
      </c>
      <c r="D8" s="414">
        <v>12.417999999999999</v>
      </c>
    </row>
    <row r="9" spans="1:8" ht="16.8">
      <c r="A9" s="415" t="s">
        <v>233</v>
      </c>
      <c r="B9" s="416">
        <f>37126*D9</f>
        <v>361013.22399999999</v>
      </c>
      <c r="C9" s="416">
        <f t="shared" si="0"/>
        <v>428653.36800000002</v>
      </c>
      <c r="D9" s="417">
        <v>9.7240000000000002</v>
      </c>
    </row>
    <row r="10" spans="1:8" ht="17.399999999999999" thickBot="1">
      <c r="A10" s="615" t="s">
        <v>251</v>
      </c>
      <c r="B10" s="246">
        <f t="shared" ref="B10:D10" si="1">SUM(B7:B9)</f>
        <v>1523168.4019999998</v>
      </c>
      <c r="C10" s="246">
        <f t="shared" si="1"/>
        <v>1808552.2139999999</v>
      </c>
      <c r="D10" s="614">
        <f t="shared" si="1"/>
        <v>41.027000000000001</v>
      </c>
    </row>
    <row r="11" spans="1:8" ht="16.8">
      <c r="A11" s="411" t="s">
        <v>234</v>
      </c>
      <c r="B11" s="410"/>
      <c r="C11" s="410"/>
      <c r="D11" s="414">
        <v>4.6639999999999997</v>
      </c>
    </row>
    <row r="12" spans="1:8" ht="16.8">
      <c r="A12" s="411" t="s">
        <v>235</v>
      </c>
      <c r="B12" s="410"/>
      <c r="C12" s="410"/>
      <c r="D12" s="414">
        <v>3.79</v>
      </c>
    </row>
    <row r="13" spans="1:8" ht="16.8">
      <c r="A13" s="411" t="s">
        <v>236</v>
      </c>
      <c r="B13" s="410"/>
      <c r="C13" s="410"/>
      <c r="D13" s="414">
        <v>3.34</v>
      </c>
    </row>
    <row r="14" spans="1:8" ht="16.8">
      <c r="A14" s="415" t="s">
        <v>237</v>
      </c>
      <c r="B14" s="416"/>
      <c r="C14" s="416"/>
      <c r="D14" s="417">
        <v>6.6820000000000004</v>
      </c>
    </row>
    <row r="15" spans="1:8" ht="17.399999999999999" thickBot="1">
      <c r="A15" s="612" t="s">
        <v>304</v>
      </c>
      <c r="B15" s="620"/>
      <c r="C15" s="620"/>
      <c r="D15" s="614">
        <f>SUM(D11:D14)</f>
        <v>18.475999999999999</v>
      </c>
      <c r="E15" s="244" t="s">
        <v>305</v>
      </c>
    </row>
    <row r="16" spans="1:8" ht="16.8">
      <c r="E16" s="244"/>
    </row>
    <row r="17" spans="1:7" ht="17.399999999999999" thickBot="1">
      <c r="A17" s="619" t="s">
        <v>292</v>
      </c>
      <c r="B17" s="619"/>
      <c r="C17" s="619"/>
      <c r="D17" s="619"/>
      <c r="E17" s="244"/>
    </row>
    <row r="18" spans="1:7" ht="33.6">
      <c r="A18" s="613"/>
      <c r="B18" s="245" t="s">
        <v>210</v>
      </c>
      <c r="C18" s="418" t="s">
        <v>211</v>
      </c>
      <c r="D18" s="247"/>
      <c r="E18" s="244"/>
    </row>
    <row r="19" spans="1:7" ht="16.8">
      <c r="A19" s="411" t="s">
        <v>241</v>
      </c>
      <c r="B19" s="410">
        <f>B29</f>
        <v>229161.80499999999</v>
      </c>
      <c r="C19" s="419">
        <f>C29</f>
        <v>272094.23</v>
      </c>
      <c r="D19" s="248"/>
      <c r="E19" s="244"/>
    </row>
    <row r="20" spans="1:7" ht="16.8">
      <c r="A20" s="415" t="s">
        <v>242</v>
      </c>
      <c r="B20" s="416">
        <f>B10/2</f>
        <v>761584.20099999988</v>
      </c>
      <c r="C20" s="420">
        <f t="shared" ref="C20" si="2">C10/2</f>
        <v>904276.10699999996</v>
      </c>
      <c r="D20" s="336" t="s">
        <v>243</v>
      </c>
      <c r="E20" s="244"/>
    </row>
    <row r="21" spans="1:7" ht="17.399999999999999" thickBot="1">
      <c r="A21" s="615" t="s">
        <v>244</v>
      </c>
      <c r="B21" s="246">
        <f t="shared" ref="B21:C21" si="3">SUM(B19:B20)</f>
        <v>990746.00599999982</v>
      </c>
      <c r="C21" s="421">
        <f t="shared" si="3"/>
        <v>1176370.3369999998</v>
      </c>
      <c r="D21" s="249"/>
      <c r="E21" s="244"/>
    </row>
    <row r="22" spans="1:7" ht="16.8">
      <c r="E22" s="244"/>
    </row>
    <row r="23" spans="1:7" ht="17.399999999999999" thickBot="1">
      <c r="A23" s="593" t="s">
        <v>293</v>
      </c>
      <c r="B23" s="593"/>
      <c r="C23" s="593"/>
      <c r="D23" s="593"/>
    </row>
    <row r="24" spans="1:7" ht="33.6">
      <c r="A24" s="613" t="s">
        <v>212</v>
      </c>
      <c r="B24" s="618" t="s">
        <v>210</v>
      </c>
      <c r="C24" s="618" t="s">
        <v>211</v>
      </c>
      <c r="D24" s="621" t="s">
        <v>213</v>
      </c>
    </row>
    <row r="25" spans="1:7" ht="16.8">
      <c r="A25" s="409" t="s">
        <v>214</v>
      </c>
      <c r="B25" s="410">
        <v>9809.26</v>
      </c>
      <c r="C25" s="410">
        <v>11646.98</v>
      </c>
      <c r="D25" s="622">
        <v>0.53900000000000003</v>
      </c>
      <c r="E25" s="394"/>
      <c r="F25" s="394"/>
      <c r="G25" s="394"/>
    </row>
    <row r="26" spans="1:7" ht="16.8">
      <c r="A26" s="411" t="s">
        <v>215</v>
      </c>
      <c r="B26" s="410">
        <v>23822.49</v>
      </c>
      <c r="C26" s="410">
        <v>28285.525000000001</v>
      </c>
      <c r="D26" s="622">
        <v>1.3089999999999999</v>
      </c>
    </row>
    <row r="27" spans="1:7" ht="16.8">
      <c r="A27" s="411" t="s">
        <v>216</v>
      </c>
      <c r="B27" s="410">
        <v>137748.23000000001</v>
      </c>
      <c r="C27" s="410">
        <v>163554.73499999999</v>
      </c>
      <c r="D27" s="622">
        <v>7.569</v>
      </c>
    </row>
    <row r="28" spans="1:7" ht="16.8">
      <c r="A28" s="411" t="s">
        <v>217</v>
      </c>
      <c r="B28" s="410">
        <v>57781.824999999997</v>
      </c>
      <c r="C28" s="416">
        <v>68606.990000000005</v>
      </c>
      <c r="D28" s="622">
        <v>3.1749999999999998</v>
      </c>
    </row>
    <row r="29" spans="1:7" ht="17.399999999999999" thickBot="1">
      <c r="A29" s="615" t="s">
        <v>10</v>
      </c>
      <c r="B29" s="246">
        <f t="shared" ref="B29:D29" si="4">SUM(B25:B28)</f>
        <v>229161.80499999999</v>
      </c>
      <c r="C29" s="246">
        <f t="shared" si="4"/>
        <v>272094.23</v>
      </c>
      <c r="D29" s="623">
        <f t="shared" si="4"/>
        <v>12.591999999999999</v>
      </c>
    </row>
    <row r="31" spans="1:7" ht="17.399999999999999" thickBot="1">
      <c r="A31" s="729" t="s">
        <v>245</v>
      </c>
      <c r="B31" s="729"/>
      <c r="C31" s="729"/>
      <c r="D31" s="729"/>
    </row>
    <row r="32" spans="1:7" ht="33.6">
      <c r="A32" s="613"/>
      <c r="B32" s="245" t="s">
        <v>210</v>
      </c>
      <c r="C32" s="418" t="s">
        <v>211</v>
      </c>
      <c r="D32" s="247"/>
    </row>
    <row r="33" spans="1:4" ht="16.8">
      <c r="A33" s="415" t="s">
        <v>242</v>
      </c>
      <c r="B33" s="416">
        <f>B10/2</f>
        <v>761584.20099999988</v>
      </c>
      <c r="C33" s="420">
        <f t="shared" ref="C33" si="5">C10/2</f>
        <v>904276.10699999996</v>
      </c>
      <c r="D33" s="336"/>
    </row>
    <row r="34" spans="1:4" ht="17.399999999999999" thickBot="1">
      <c r="A34" s="615" t="s">
        <v>245</v>
      </c>
      <c r="B34" s="246">
        <f t="shared" ref="B34" si="6">SUM(B33:B33)</f>
        <v>761584.20099999988</v>
      </c>
      <c r="C34" s="421">
        <f>SUM(C33:C33)</f>
        <v>904276.10699999996</v>
      </c>
      <c r="D34" s="249"/>
    </row>
  </sheetData>
  <mergeCells count="2">
    <mergeCell ref="A31:D31"/>
    <mergeCell ref="A1:B1"/>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A3D49D-14F9-47E1-9D92-BFE90DDA9F23}">
  <sheetPr codeName="Sheet9">
    <tabColor theme="0" tint="-0.34998626667073579"/>
    <pageSetUpPr fitToPage="1"/>
  </sheetPr>
  <dimension ref="A2:AO94"/>
  <sheetViews>
    <sheetView showGridLines="0" topLeftCell="AE16" zoomScale="85" zoomScaleNormal="85" workbookViewId="0">
      <selection activeCell="S12" sqref="S12"/>
    </sheetView>
  </sheetViews>
  <sheetFormatPr defaultColWidth="9.109375" defaultRowHeight="12"/>
  <cols>
    <col min="1" max="1" width="21.109375" style="147" customWidth="1"/>
    <col min="2" max="2" width="8" style="147" bestFit="1" customWidth="1"/>
    <col min="3" max="3" width="38.109375" style="147" customWidth="1"/>
    <col min="4" max="4" width="45.6640625" style="147" bestFit="1" customWidth="1"/>
    <col min="5" max="12" width="12.88671875" style="147" customWidth="1"/>
    <col min="13" max="17" width="16.109375" style="147" customWidth="1"/>
    <col min="18" max="19" width="13" style="147" customWidth="1"/>
    <col min="20" max="20" width="12.109375" style="147" bestFit="1" customWidth="1"/>
    <col min="21" max="21" width="12.109375" style="147" hidden="1" customWidth="1"/>
    <col min="22" max="23" width="12.88671875" style="147" customWidth="1"/>
    <col min="24" max="24" width="15.5546875" style="147" customWidth="1"/>
    <col min="25" max="29" width="17.109375" style="147" customWidth="1"/>
    <col min="30" max="31" width="18.88671875" style="147" customWidth="1"/>
    <col min="32" max="32" width="18.5546875" style="147" customWidth="1"/>
    <col min="33" max="34" width="12.88671875" style="147" customWidth="1"/>
    <col min="35" max="36" width="15.21875" style="147" customWidth="1"/>
    <col min="37" max="37" width="20.44140625" style="147" customWidth="1"/>
    <col min="38" max="38" width="12.88671875" style="147" customWidth="1"/>
    <col min="39" max="39" width="16.109375" style="147" customWidth="1"/>
    <col min="40" max="40" width="68.88671875" style="147" customWidth="1"/>
    <col min="41" max="41" width="76.109375" style="147" customWidth="1"/>
    <col min="42" max="16384" width="9.109375" style="147"/>
  </cols>
  <sheetData>
    <row r="2" spans="1:41" ht="15" thickBot="1">
      <c r="AN2"/>
      <c r="AO2"/>
    </row>
    <row r="3" spans="1:41" ht="36.6" thickBot="1">
      <c r="B3" s="735" t="s">
        <v>31</v>
      </c>
      <c r="C3" s="736"/>
      <c r="D3" s="737"/>
      <c r="E3" s="743" t="s">
        <v>96</v>
      </c>
      <c r="F3" s="737"/>
      <c r="G3" s="743" t="s">
        <v>2</v>
      </c>
      <c r="H3" s="737"/>
      <c r="I3" s="743" t="s">
        <v>52</v>
      </c>
      <c r="J3" s="737"/>
      <c r="K3" s="743" t="s">
        <v>109</v>
      </c>
      <c r="L3" s="736"/>
      <c r="M3" s="743" t="s">
        <v>53</v>
      </c>
      <c r="N3" s="736"/>
      <c r="O3" s="736"/>
      <c r="P3" s="736"/>
      <c r="Q3" s="736"/>
      <c r="R3" s="736"/>
      <c r="S3" s="736"/>
      <c r="T3" s="736"/>
      <c r="U3" s="736"/>
      <c r="V3" s="736"/>
      <c r="W3" s="736"/>
      <c r="X3" s="737"/>
      <c r="Y3" s="743" t="s">
        <v>171</v>
      </c>
      <c r="Z3" s="737"/>
      <c r="AA3" s="549" t="s">
        <v>174</v>
      </c>
      <c r="AB3" s="743" t="s">
        <v>173</v>
      </c>
      <c r="AC3" s="736"/>
      <c r="AD3" s="736"/>
      <c r="AE3" s="736"/>
      <c r="AF3" s="737"/>
      <c r="AG3" s="741" t="s">
        <v>145</v>
      </c>
      <c r="AH3" s="744"/>
      <c r="AI3" s="741" t="s">
        <v>126</v>
      </c>
      <c r="AJ3" s="744"/>
      <c r="AK3" s="550" t="s">
        <v>273</v>
      </c>
      <c r="AL3" s="741" t="s">
        <v>127</v>
      </c>
      <c r="AM3" s="742"/>
      <c r="AN3"/>
      <c r="AO3"/>
    </row>
    <row r="4" spans="1:41" ht="60.6" thickBot="1">
      <c r="B4" s="551" t="s">
        <v>56</v>
      </c>
      <c r="C4" s="552" t="s">
        <v>57</v>
      </c>
      <c r="D4" s="552" t="s">
        <v>43</v>
      </c>
      <c r="E4" s="552" t="s">
        <v>91</v>
      </c>
      <c r="F4" s="552" t="s">
        <v>92</v>
      </c>
      <c r="G4" s="552" t="s">
        <v>4</v>
      </c>
      <c r="H4" s="552" t="s">
        <v>5</v>
      </c>
      <c r="I4" s="553" t="s">
        <v>50</v>
      </c>
      <c r="J4" s="553" t="s">
        <v>51</v>
      </c>
      <c r="K4" s="553" t="s">
        <v>108</v>
      </c>
      <c r="L4" s="553" t="s">
        <v>144</v>
      </c>
      <c r="M4" s="553" t="s">
        <v>128</v>
      </c>
      <c r="N4" s="553" t="s">
        <v>308</v>
      </c>
      <c r="O4" s="553" t="s">
        <v>124</v>
      </c>
      <c r="P4" s="553" t="s">
        <v>143</v>
      </c>
      <c r="Q4" s="552" t="s">
        <v>119</v>
      </c>
      <c r="R4" s="553" t="s">
        <v>110</v>
      </c>
      <c r="S4" s="553" t="s">
        <v>93</v>
      </c>
      <c r="T4" s="553" t="s">
        <v>136</v>
      </c>
      <c r="U4" s="553" t="s">
        <v>142</v>
      </c>
      <c r="V4" s="553" t="s">
        <v>125</v>
      </c>
      <c r="W4" s="553" t="s">
        <v>140</v>
      </c>
      <c r="X4" s="553" t="s">
        <v>152</v>
      </c>
      <c r="Y4" s="553" t="s">
        <v>172</v>
      </c>
      <c r="Z4" s="553" t="s">
        <v>176</v>
      </c>
      <c r="AA4" s="553" t="s">
        <v>175</v>
      </c>
      <c r="AB4" s="553" t="s">
        <v>274</v>
      </c>
      <c r="AC4" s="553" t="s">
        <v>177</v>
      </c>
      <c r="AD4" s="553" t="s">
        <v>146</v>
      </c>
      <c r="AE4" s="553" t="s">
        <v>156</v>
      </c>
      <c r="AF4" s="553" t="s">
        <v>154</v>
      </c>
      <c r="AG4" s="553" t="s">
        <v>107</v>
      </c>
      <c r="AH4" s="553" t="s">
        <v>106</v>
      </c>
      <c r="AI4" s="554" t="s">
        <v>54</v>
      </c>
      <c r="AJ4" s="553" t="s">
        <v>55</v>
      </c>
      <c r="AK4" s="552"/>
      <c r="AL4" s="553" t="s">
        <v>141</v>
      </c>
      <c r="AM4" s="555" t="s">
        <v>86</v>
      </c>
      <c r="AN4" s="624" t="s">
        <v>298</v>
      </c>
      <c r="AO4"/>
    </row>
    <row r="5" spans="1:41" ht="15" thickBot="1">
      <c r="B5" s="152"/>
      <c r="C5" s="152"/>
      <c r="D5" s="152"/>
      <c r="E5" s="152"/>
      <c r="F5" s="152"/>
      <c r="G5" s="152"/>
      <c r="H5" s="152"/>
      <c r="I5" s="152"/>
      <c r="J5" s="152"/>
      <c r="K5" s="152"/>
      <c r="L5" s="152"/>
      <c r="M5" s="152"/>
      <c r="N5" s="152"/>
      <c r="O5" s="152"/>
      <c r="P5" s="152"/>
      <c r="Q5" s="152"/>
      <c r="R5" s="152"/>
      <c r="S5" s="152"/>
      <c r="T5" s="152"/>
      <c r="U5" s="152"/>
      <c r="V5" s="152"/>
      <c r="W5" s="152"/>
      <c r="X5" s="152"/>
      <c r="Y5" s="152"/>
      <c r="Z5" s="152"/>
      <c r="AA5" s="152"/>
      <c r="AB5" s="152"/>
      <c r="AC5" s="152"/>
      <c r="AD5" s="152"/>
      <c r="AE5" s="152"/>
      <c r="AF5" s="152"/>
      <c r="AG5" s="152"/>
      <c r="AH5" s="152"/>
      <c r="AI5" s="152"/>
      <c r="AJ5" s="152"/>
      <c r="AK5" s="152"/>
      <c r="AL5" s="152"/>
      <c r="AM5" s="152"/>
      <c r="AN5"/>
      <c r="AO5"/>
    </row>
    <row r="6" spans="1:41" ht="24">
      <c r="A6" s="738" t="s">
        <v>48</v>
      </c>
      <c r="B6" s="498">
        <v>39</v>
      </c>
      <c r="C6" s="499" t="s">
        <v>49</v>
      </c>
      <c r="D6" s="499"/>
      <c r="E6" s="498" t="s">
        <v>94</v>
      </c>
      <c r="F6" s="498" t="s">
        <v>95</v>
      </c>
      <c r="G6" s="498">
        <v>2026</v>
      </c>
      <c r="H6" s="498">
        <v>2026</v>
      </c>
      <c r="I6" s="500">
        <v>0.5</v>
      </c>
      <c r="J6" s="500">
        <f>1-I6</f>
        <v>0.5</v>
      </c>
      <c r="K6" s="500"/>
      <c r="L6" s="500"/>
      <c r="M6" s="501"/>
      <c r="N6" s="501"/>
      <c r="O6" s="502"/>
      <c r="P6" s="501"/>
      <c r="Q6" s="503" t="s">
        <v>137</v>
      </c>
      <c r="R6" s="503"/>
      <c r="S6" s="504"/>
      <c r="T6" s="625"/>
      <c r="U6" s="625"/>
      <c r="V6" s="505"/>
      <c r="W6" s="507"/>
      <c r="X6" s="507">
        <v>2687673</v>
      </c>
      <c r="Y6" s="506" t="s">
        <v>77</v>
      </c>
      <c r="Z6" s="507">
        <f>7000000+11000000</f>
        <v>18000000</v>
      </c>
      <c r="AA6" s="507">
        <v>790000</v>
      </c>
      <c r="AB6" s="507"/>
      <c r="AC6" s="507"/>
      <c r="AD6" s="505"/>
      <c r="AE6" s="505">
        <f>36724+150949+2044480</f>
        <v>2232153</v>
      </c>
      <c r="AF6" s="505">
        <f>X6-AC6-AD6-AE6</f>
        <v>455520</v>
      </c>
      <c r="AG6" s="508"/>
      <c r="AH6" s="508"/>
      <c r="AI6" s="508">
        <f>AF6*I6</f>
        <v>227760</v>
      </c>
      <c r="AJ6" s="508">
        <f>AF6*J6</f>
        <v>227760</v>
      </c>
      <c r="AK6" s="509" t="s">
        <v>76</v>
      </c>
      <c r="AL6" s="501"/>
      <c r="AM6" s="510"/>
      <c r="AN6" s="664" t="s">
        <v>294</v>
      </c>
      <c r="AO6"/>
    </row>
    <row r="7" spans="1:41" ht="48">
      <c r="A7" s="739"/>
      <c r="B7" s="511">
        <v>92</v>
      </c>
      <c r="C7" s="512" t="s">
        <v>88</v>
      </c>
      <c r="D7" s="518" t="s">
        <v>238</v>
      </c>
      <c r="E7" s="511" t="s">
        <v>94</v>
      </c>
      <c r="F7" s="511" t="s">
        <v>95</v>
      </c>
      <c r="G7" s="511">
        <v>2027</v>
      </c>
      <c r="H7" s="511">
        <v>2029</v>
      </c>
      <c r="I7" s="496">
        <v>1</v>
      </c>
      <c r="J7" s="496">
        <f>1-I7</f>
        <v>0</v>
      </c>
      <c r="K7" s="496"/>
      <c r="L7" s="496"/>
      <c r="M7" s="493"/>
      <c r="N7" s="493">
        <v>2388700</v>
      </c>
      <c r="O7" s="493"/>
      <c r="P7" s="513"/>
      <c r="Q7" s="497" t="s">
        <v>121</v>
      </c>
      <c r="R7" s="492">
        <v>25</v>
      </c>
      <c r="S7" s="514">
        <v>15</v>
      </c>
      <c r="T7" s="495"/>
      <c r="U7" s="495">
        <f>MROUND((N7+(N7*(R7/100))+(N7*(S7/100))),1000)</f>
        <v>3344000</v>
      </c>
      <c r="V7" s="519">
        <f>U7*(1+Assumptions!$B$19)^1</f>
        <v>3427599.9999999995</v>
      </c>
      <c r="W7" s="519">
        <f>V7*(1+Assumptions!$B$19)^1</f>
        <v>3513289.9999999991</v>
      </c>
      <c r="X7" s="519">
        <f>W7*(1+Assumptions!$B$19)^1</f>
        <v>3601122.2499999986</v>
      </c>
      <c r="Y7" s="515" t="s">
        <v>76</v>
      </c>
      <c r="Z7" s="515"/>
      <c r="AA7" s="515"/>
      <c r="AB7" s="515"/>
      <c r="AC7" s="515"/>
      <c r="AD7" s="519"/>
      <c r="AE7" s="519"/>
      <c r="AF7" s="493">
        <f>X7-AD7</f>
        <v>3601122.2499999986</v>
      </c>
      <c r="AG7" s="494"/>
      <c r="AH7" s="494"/>
      <c r="AI7" s="494">
        <f>AF7*I7</f>
        <v>3601122.2499999986</v>
      </c>
      <c r="AJ7" s="494">
        <f>AF7*J7</f>
        <v>0</v>
      </c>
      <c r="AK7" s="516" t="s">
        <v>76</v>
      </c>
      <c r="AL7" s="513"/>
      <c r="AM7" s="517"/>
      <c r="AN7" s="664" t="s">
        <v>295</v>
      </c>
      <c r="AO7"/>
    </row>
    <row r="8" spans="1:41" ht="48">
      <c r="A8" s="739"/>
      <c r="B8" s="511">
        <v>40</v>
      </c>
      <c r="C8" s="512" t="s">
        <v>89</v>
      </c>
      <c r="D8" s="518" t="s">
        <v>239</v>
      </c>
      <c r="E8" s="511" t="s">
        <v>94</v>
      </c>
      <c r="F8" s="511" t="s">
        <v>95</v>
      </c>
      <c r="G8" s="511">
        <v>2030</v>
      </c>
      <c r="H8" s="511">
        <v>2032</v>
      </c>
      <c r="I8" s="496">
        <v>0.7</v>
      </c>
      <c r="J8" s="496">
        <f>1-I8</f>
        <v>0.30000000000000004</v>
      </c>
      <c r="K8" s="496"/>
      <c r="L8" s="496"/>
      <c r="M8" s="493"/>
      <c r="N8" s="493">
        <v>3974700</v>
      </c>
      <c r="O8" s="493"/>
      <c r="P8" s="513"/>
      <c r="Q8" s="497" t="s">
        <v>121</v>
      </c>
      <c r="R8" s="492">
        <v>25</v>
      </c>
      <c r="S8" s="514">
        <v>15</v>
      </c>
      <c r="T8" s="519"/>
      <c r="U8" s="519">
        <f t="shared" ref="U8:U9" si="0">MROUND((N8+(N8*(R8/100))+(N8*(S8/100))),1000)</f>
        <v>5565000</v>
      </c>
      <c r="V8" s="519">
        <f>U8*(1+Assumptions!$B$19)^1</f>
        <v>5704124.9999999991</v>
      </c>
      <c r="W8" s="519">
        <f>V8*(1+Assumptions!$B$19)^1</f>
        <v>5846728.1249999981</v>
      </c>
      <c r="X8" s="519">
        <f>W8*(1+Assumptions!$B$19)^1</f>
        <v>5992896.3281249972</v>
      </c>
      <c r="Y8" s="515" t="s">
        <v>76</v>
      </c>
      <c r="Z8" s="515"/>
      <c r="AA8" s="515"/>
      <c r="AB8" s="515"/>
      <c r="AC8" s="515"/>
      <c r="AD8" s="519"/>
      <c r="AE8" s="519"/>
      <c r="AF8" s="493">
        <f>X8-AD8</f>
        <v>5992896.3281249972</v>
      </c>
      <c r="AG8" s="494"/>
      <c r="AH8" s="494"/>
      <c r="AI8" s="494">
        <f>AF8*I8</f>
        <v>4195027.4296874981</v>
      </c>
      <c r="AJ8" s="494">
        <f>AF8*J8</f>
        <v>1797868.8984374995</v>
      </c>
      <c r="AK8" s="516" t="s">
        <v>76</v>
      </c>
      <c r="AL8" s="513"/>
      <c r="AM8" s="517"/>
      <c r="AN8" s="664" t="s">
        <v>296</v>
      </c>
      <c r="AO8"/>
    </row>
    <row r="9" spans="1:41" ht="60.6" thickBot="1">
      <c r="A9" s="740"/>
      <c r="B9" s="520">
        <v>41</v>
      </c>
      <c r="C9" s="521" t="s">
        <v>134</v>
      </c>
      <c r="D9" s="522" t="s">
        <v>240</v>
      </c>
      <c r="E9" s="520" t="s">
        <v>94</v>
      </c>
      <c r="F9" s="520" t="s">
        <v>95</v>
      </c>
      <c r="G9" s="520">
        <v>2026</v>
      </c>
      <c r="H9" s="520">
        <v>2028</v>
      </c>
      <c r="I9" s="523">
        <v>1</v>
      </c>
      <c r="J9" s="523">
        <f>1-I9</f>
        <v>0</v>
      </c>
      <c r="K9" s="523"/>
      <c r="L9" s="523"/>
      <c r="M9" s="524"/>
      <c r="N9" s="524">
        <v>2085300</v>
      </c>
      <c r="O9" s="524"/>
      <c r="P9" s="525"/>
      <c r="Q9" s="526" t="s">
        <v>121</v>
      </c>
      <c r="R9" s="527">
        <v>25</v>
      </c>
      <c r="S9" s="528">
        <v>15</v>
      </c>
      <c r="T9" s="529"/>
      <c r="U9" s="529">
        <f t="shared" si="0"/>
        <v>2919000</v>
      </c>
      <c r="V9" s="531">
        <f>U9*(1+Assumptions!$B$19)^1</f>
        <v>2991974.9999999995</v>
      </c>
      <c r="W9" s="531">
        <f>V9*(1+Assumptions!$B$19)^1</f>
        <v>3066774.3749999991</v>
      </c>
      <c r="X9" s="531">
        <f>W9*(1+Assumptions!$B$19)^1</f>
        <v>3143443.7343749986</v>
      </c>
      <c r="Y9" s="530" t="s">
        <v>76</v>
      </c>
      <c r="Z9" s="530"/>
      <c r="AA9" s="530"/>
      <c r="AB9" s="530"/>
      <c r="AC9" s="530"/>
      <c r="AD9" s="531"/>
      <c r="AE9" s="531"/>
      <c r="AF9" s="524">
        <f>X9-AD9</f>
        <v>3143443.7343749986</v>
      </c>
      <c r="AG9" s="532"/>
      <c r="AH9" s="532"/>
      <c r="AI9" s="532">
        <f>AF9*I9</f>
        <v>3143443.7343749986</v>
      </c>
      <c r="AJ9" s="532">
        <f>AF9*J9</f>
        <v>0</v>
      </c>
      <c r="AK9" s="533" t="s">
        <v>76</v>
      </c>
      <c r="AL9" s="525"/>
      <c r="AM9" s="534"/>
      <c r="AN9" s="664" t="s">
        <v>297</v>
      </c>
      <c r="AO9"/>
    </row>
    <row r="10" spans="1:41" ht="14.4">
      <c r="E10" s="151"/>
      <c r="F10" s="151"/>
      <c r="G10" s="151"/>
      <c r="H10" s="151"/>
      <c r="I10" s="154"/>
      <c r="J10" s="154"/>
      <c r="K10" s="154"/>
      <c r="L10" s="154"/>
      <c r="O10" s="153"/>
      <c r="Q10" s="153"/>
      <c r="R10" s="153"/>
      <c r="S10" s="155"/>
      <c r="V10" s="154"/>
      <c r="W10" s="154"/>
      <c r="X10" s="665">
        <f>SUM(X6:X9)</f>
        <v>15425135.312499994</v>
      </c>
      <c r="Y10" s="154"/>
      <c r="Z10" s="154"/>
      <c r="AA10" s="154"/>
      <c r="AB10" s="154"/>
      <c r="AC10" s="154"/>
      <c r="AD10" s="154"/>
      <c r="AE10" s="154"/>
      <c r="AF10" s="194"/>
      <c r="AG10" s="154"/>
      <c r="AH10" s="154"/>
      <c r="AI10" s="665"/>
      <c r="AJ10" s="665"/>
      <c r="AK10"/>
      <c r="AM10" s="154"/>
      <c r="AN10"/>
      <c r="AO10"/>
    </row>
    <row r="11" spans="1:41" ht="15" thickBot="1">
      <c r="AN11"/>
      <c r="AO11"/>
    </row>
    <row r="12" spans="1:41" ht="36">
      <c r="A12" s="738" t="s">
        <v>47</v>
      </c>
      <c r="B12" s="535" t="s">
        <v>98</v>
      </c>
      <c r="C12" s="536" t="s">
        <v>63</v>
      </c>
      <c r="D12" s="499"/>
      <c r="E12" s="498" t="s">
        <v>94</v>
      </c>
      <c r="F12" s="498" t="s">
        <v>95</v>
      </c>
      <c r="G12" s="498">
        <v>2026</v>
      </c>
      <c r="H12" s="498">
        <v>2026</v>
      </c>
      <c r="I12" s="500">
        <v>1</v>
      </c>
      <c r="J12" s="500">
        <f>1-I12</f>
        <v>0</v>
      </c>
      <c r="K12" s="500"/>
      <c r="L12" s="500"/>
      <c r="M12" s="501"/>
      <c r="N12" s="501"/>
      <c r="O12" s="537"/>
      <c r="P12" s="501"/>
      <c r="Q12" s="503" t="s">
        <v>137</v>
      </c>
      <c r="R12" s="503"/>
      <c r="S12" s="538"/>
      <c r="T12" s="501"/>
      <c r="U12" s="625"/>
      <c r="V12" s="505"/>
      <c r="W12" s="507"/>
      <c r="X12" s="507">
        <v>5919048</v>
      </c>
      <c r="Y12" s="506" t="s">
        <v>76</v>
      </c>
      <c r="Z12" s="506"/>
      <c r="AA12" s="506"/>
      <c r="AB12" s="506"/>
      <c r="AC12" s="506"/>
      <c r="AD12" s="501"/>
      <c r="AE12" s="507">
        <v>3651852</v>
      </c>
      <c r="AF12" s="505">
        <f>X12-AD12-AE12</f>
        <v>2267196</v>
      </c>
      <c r="AG12" s="508"/>
      <c r="AH12" s="508"/>
      <c r="AI12" s="508">
        <f t="shared" ref="AI12:AI19" si="1">AF12*I12</f>
        <v>2267196</v>
      </c>
      <c r="AJ12" s="508">
        <f t="shared" ref="AJ12:AJ19" si="2">AF12*J12</f>
        <v>0</v>
      </c>
      <c r="AK12" s="539" t="s">
        <v>76</v>
      </c>
      <c r="AL12" s="503"/>
      <c r="AM12" s="540"/>
      <c r="AN12" s="731" t="s">
        <v>299</v>
      </c>
      <c r="AO12"/>
    </row>
    <row r="13" spans="1:41" ht="24">
      <c r="A13" s="739"/>
      <c r="B13" s="541">
        <v>15</v>
      </c>
      <c r="C13" s="518" t="s">
        <v>99</v>
      </c>
      <c r="D13" s="512"/>
      <c r="E13" s="511" t="s">
        <v>94</v>
      </c>
      <c r="F13" s="511" t="s">
        <v>95</v>
      </c>
      <c r="G13" s="511">
        <v>2026</v>
      </c>
      <c r="H13" s="511">
        <v>2027</v>
      </c>
      <c r="I13" s="496">
        <v>1</v>
      </c>
      <c r="J13" s="496">
        <v>0</v>
      </c>
      <c r="K13" s="496"/>
      <c r="L13" s="496"/>
      <c r="M13" s="513"/>
      <c r="N13" s="513"/>
      <c r="O13" s="495">
        <f>AL13*2350</f>
        <v>611000</v>
      </c>
      <c r="P13" s="513"/>
      <c r="Q13" s="497" t="s">
        <v>120</v>
      </c>
      <c r="R13" s="492">
        <v>40</v>
      </c>
      <c r="S13" s="497">
        <v>15</v>
      </c>
      <c r="T13" s="513"/>
      <c r="U13" s="626"/>
      <c r="V13" s="493">
        <f t="shared" ref="V13:V19" si="3">MROUND((O13+(O13*(R13/100))+(O13*(S13/100))),1000)</f>
        <v>947000</v>
      </c>
      <c r="W13" s="519">
        <f>V13*(1+Assumptions!$B$19)^1</f>
        <v>970674.99999999988</v>
      </c>
      <c r="X13" s="519">
        <f>W13*(1+Assumptions!$B$19)^1</f>
        <v>994941.87499999977</v>
      </c>
      <c r="Y13" s="515" t="s">
        <v>76</v>
      </c>
      <c r="Z13" s="515"/>
      <c r="AA13" s="515"/>
      <c r="AB13" s="515"/>
      <c r="AC13" s="515"/>
      <c r="AD13" s="513"/>
      <c r="AE13" s="513"/>
      <c r="AF13" s="493">
        <f t="shared" ref="AF13:AF19" si="4">X13-AD13</f>
        <v>994941.87499999977</v>
      </c>
      <c r="AG13" s="494"/>
      <c r="AH13" s="494"/>
      <c r="AI13" s="494">
        <f t="shared" si="1"/>
        <v>994941.87499999977</v>
      </c>
      <c r="AJ13" s="494">
        <f t="shared" si="2"/>
        <v>0</v>
      </c>
      <c r="AK13" s="542" t="s">
        <v>76</v>
      </c>
      <c r="AL13" s="492">
        <v>260</v>
      </c>
      <c r="AM13" s="543"/>
      <c r="AN13" s="731"/>
      <c r="AO13"/>
    </row>
    <row r="14" spans="1:41" ht="24">
      <c r="A14" s="739"/>
      <c r="B14" s="541" t="s">
        <v>100</v>
      </c>
      <c r="C14" s="518" t="s">
        <v>101</v>
      </c>
      <c r="D14" s="512"/>
      <c r="E14" s="511" t="s">
        <v>94</v>
      </c>
      <c r="F14" s="511" t="s">
        <v>95</v>
      </c>
      <c r="G14" s="511">
        <v>2027</v>
      </c>
      <c r="H14" s="511">
        <v>2028</v>
      </c>
      <c r="I14" s="496">
        <v>1</v>
      </c>
      <c r="J14" s="496">
        <v>0</v>
      </c>
      <c r="K14" s="496"/>
      <c r="L14" s="496"/>
      <c r="M14" s="513"/>
      <c r="N14" s="513"/>
      <c r="O14" s="495">
        <f>AL14*2350</f>
        <v>611000</v>
      </c>
      <c r="P14" s="513"/>
      <c r="Q14" s="497" t="s">
        <v>120</v>
      </c>
      <c r="R14" s="492">
        <v>40</v>
      </c>
      <c r="S14" s="497">
        <v>15</v>
      </c>
      <c r="T14" s="513"/>
      <c r="U14" s="626"/>
      <c r="V14" s="493">
        <f>MROUND((O14+(O14*(R14/100))+(O14*(S14/100))),1000)</f>
        <v>947000</v>
      </c>
      <c r="W14" s="519">
        <f>V14*(1+Assumptions!$B$19)^1</f>
        <v>970674.99999999988</v>
      </c>
      <c r="X14" s="519">
        <f>W14*(1+Assumptions!$B$19)^1</f>
        <v>994941.87499999977</v>
      </c>
      <c r="Y14" s="515" t="s">
        <v>76</v>
      </c>
      <c r="Z14" s="515"/>
      <c r="AA14" s="515"/>
      <c r="AB14" s="515"/>
      <c r="AC14" s="515"/>
      <c r="AD14" s="513"/>
      <c r="AE14" s="513"/>
      <c r="AF14" s="493">
        <f t="shared" si="4"/>
        <v>994941.87499999977</v>
      </c>
      <c r="AG14" s="494"/>
      <c r="AH14" s="494"/>
      <c r="AI14" s="494">
        <f t="shared" si="1"/>
        <v>994941.87499999977</v>
      </c>
      <c r="AJ14" s="494">
        <f t="shared" si="2"/>
        <v>0</v>
      </c>
      <c r="AK14" s="542" t="s">
        <v>76</v>
      </c>
      <c r="AL14" s="492">
        <v>260</v>
      </c>
      <c r="AM14" s="543"/>
      <c r="AN14" s="731"/>
      <c r="AO14"/>
    </row>
    <row r="15" spans="1:41" ht="24">
      <c r="A15" s="739"/>
      <c r="B15" s="541" t="s">
        <v>102</v>
      </c>
      <c r="C15" s="518" t="s">
        <v>103</v>
      </c>
      <c r="D15" s="512"/>
      <c r="E15" s="511" t="s">
        <v>94</v>
      </c>
      <c r="F15" s="511" t="s">
        <v>95</v>
      </c>
      <c r="G15" s="511">
        <v>2031</v>
      </c>
      <c r="H15" s="511">
        <v>2032</v>
      </c>
      <c r="I15" s="496">
        <v>1</v>
      </c>
      <c r="J15" s="496">
        <v>0</v>
      </c>
      <c r="K15" s="496"/>
      <c r="L15" s="496"/>
      <c r="M15" s="513"/>
      <c r="N15" s="513"/>
      <c r="O15" s="495">
        <v>4630300</v>
      </c>
      <c r="P15" s="513"/>
      <c r="Q15" s="497" t="s">
        <v>120</v>
      </c>
      <c r="R15" s="492">
        <v>40</v>
      </c>
      <c r="S15" s="497">
        <v>15</v>
      </c>
      <c r="T15" s="544"/>
      <c r="U15" s="626"/>
      <c r="V15" s="493">
        <f t="shared" si="3"/>
        <v>7177000</v>
      </c>
      <c r="W15" s="519">
        <f>V15*(1+Assumptions!$B$19)^1</f>
        <v>7356424.9999999991</v>
      </c>
      <c r="X15" s="519">
        <f>W15*(1+Assumptions!$B$19)^1</f>
        <v>7540335.6249999981</v>
      </c>
      <c r="Y15" s="515" t="s">
        <v>76</v>
      </c>
      <c r="Z15" s="515"/>
      <c r="AA15" s="515"/>
      <c r="AB15" s="515"/>
      <c r="AC15" s="515"/>
      <c r="AD15" s="513"/>
      <c r="AE15" s="513"/>
      <c r="AF15" s="493">
        <f t="shared" si="4"/>
        <v>7540335.6249999981</v>
      </c>
      <c r="AG15" s="494"/>
      <c r="AH15" s="494"/>
      <c r="AI15" s="494">
        <f t="shared" si="1"/>
        <v>7540335.6249999981</v>
      </c>
      <c r="AJ15" s="494">
        <f t="shared" si="2"/>
        <v>0</v>
      </c>
      <c r="AK15" s="542" t="s">
        <v>76</v>
      </c>
      <c r="AL15" s="492">
        <v>1918</v>
      </c>
      <c r="AM15" s="543"/>
      <c r="AN15" s="731"/>
      <c r="AO15"/>
    </row>
    <row r="16" spans="1:41" ht="48">
      <c r="A16" s="739"/>
      <c r="B16" s="541">
        <v>45</v>
      </c>
      <c r="C16" s="518" t="s">
        <v>178</v>
      </c>
      <c r="D16" s="512"/>
      <c r="E16" s="511" t="s">
        <v>94</v>
      </c>
      <c r="F16" s="511" t="s">
        <v>95</v>
      </c>
      <c r="G16" s="545">
        <v>2026</v>
      </c>
      <c r="H16" s="545">
        <v>2027</v>
      </c>
      <c r="I16" s="496">
        <v>1</v>
      </c>
      <c r="J16" s="496">
        <f>1-I16</f>
        <v>0</v>
      </c>
      <c r="K16" s="496"/>
      <c r="L16" s="496"/>
      <c r="M16" s="513"/>
      <c r="N16" s="513"/>
      <c r="O16" s="495"/>
      <c r="P16" s="513"/>
      <c r="Q16" s="497" t="s">
        <v>137</v>
      </c>
      <c r="R16" s="492"/>
      <c r="S16" s="497"/>
      <c r="T16" s="513"/>
      <c r="U16" s="626"/>
      <c r="V16" s="493"/>
      <c r="W16" s="519"/>
      <c r="X16" s="519">
        <v>7040975.2199999997</v>
      </c>
      <c r="Y16" s="515" t="s">
        <v>76</v>
      </c>
      <c r="Z16" s="515"/>
      <c r="AA16" s="515"/>
      <c r="AB16" s="515"/>
      <c r="AC16" s="515"/>
      <c r="AD16" s="513"/>
      <c r="AE16" s="519">
        <v>409469</v>
      </c>
      <c r="AF16" s="493">
        <f>X16-AD16-AE16</f>
        <v>6631506.2199999997</v>
      </c>
      <c r="AG16" s="494"/>
      <c r="AH16" s="494"/>
      <c r="AI16" s="494">
        <f t="shared" si="1"/>
        <v>6631506.2199999997</v>
      </c>
      <c r="AJ16" s="494">
        <f t="shared" si="2"/>
        <v>0</v>
      </c>
      <c r="AK16" s="542" t="s">
        <v>76</v>
      </c>
      <c r="AL16" s="492">
        <v>1585</v>
      </c>
      <c r="AM16" s="543"/>
      <c r="AN16" s="731"/>
      <c r="AO16"/>
    </row>
    <row r="17" spans="1:41" ht="24">
      <c r="A17" s="739"/>
      <c r="B17" s="541">
        <v>46</v>
      </c>
      <c r="C17" s="518" t="s">
        <v>66</v>
      </c>
      <c r="D17" s="512"/>
      <c r="E17" s="511" t="s">
        <v>94</v>
      </c>
      <c r="F17" s="511" t="s">
        <v>95</v>
      </c>
      <c r="G17" s="511">
        <v>2031</v>
      </c>
      <c r="H17" s="511">
        <v>2032</v>
      </c>
      <c r="I17" s="496">
        <v>1</v>
      </c>
      <c r="J17" s="496">
        <f>1-I17</f>
        <v>0</v>
      </c>
      <c r="K17" s="496"/>
      <c r="L17" s="496"/>
      <c r="M17" s="513"/>
      <c r="N17" s="513"/>
      <c r="O17" s="495">
        <v>3144000</v>
      </c>
      <c r="P17" s="513"/>
      <c r="Q17" s="497" t="s">
        <v>120</v>
      </c>
      <c r="R17" s="492">
        <v>50</v>
      </c>
      <c r="S17" s="497">
        <v>15</v>
      </c>
      <c r="T17" s="513"/>
      <c r="U17" s="626"/>
      <c r="V17" s="493">
        <f t="shared" si="3"/>
        <v>5188000</v>
      </c>
      <c r="W17" s="519">
        <f>V17*(1+Assumptions!$B$19)^1</f>
        <v>5317700</v>
      </c>
      <c r="X17" s="519">
        <f>W17*(1+Assumptions!$B$19)^1</f>
        <v>5450642.4999999991</v>
      </c>
      <c r="Y17" s="515" t="s">
        <v>76</v>
      </c>
      <c r="Z17" s="515"/>
      <c r="AA17" s="515"/>
      <c r="AB17" s="515"/>
      <c r="AC17" s="515"/>
      <c r="AD17" s="513"/>
      <c r="AE17" s="513"/>
      <c r="AF17" s="493">
        <f t="shared" si="4"/>
        <v>5450642.4999999991</v>
      </c>
      <c r="AG17" s="494"/>
      <c r="AH17" s="494"/>
      <c r="AI17" s="494">
        <f t="shared" si="1"/>
        <v>5450642.4999999991</v>
      </c>
      <c r="AJ17" s="494">
        <f t="shared" si="2"/>
        <v>0</v>
      </c>
      <c r="AK17" s="542" t="s">
        <v>76</v>
      </c>
      <c r="AL17" s="492">
        <v>708</v>
      </c>
      <c r="AM17" s="543"/>
      <c r="AN17" s="731"/>
      <c r="AO17"/>
    </row>
    <row r="18" spans="1:41" ht="36">
      <c r="A18" s="739"/>
      <c r="B18" s="541">
        <v>60</v>
      </c>
      <c r="C18" s="518" t="s">
        <v>73</v>
      </c>
      <c r="D18" s="512"/>
      <c r="E18" s="511" t="s">
        <v>94</v>
      </c>
      <c r="F18" s="511" t="s">
        <v>95</v>
      </c>
      <c r="G18" s="511">
        <v>2031</v>
      </c>
      <c r="H18" s="511">
        <v>2032</v>
      </c>
      <c r="I18" s="496">
        <v>1</v>
      </c>
      <c r="J18" s="496">
        <f t="shared" ref="J18" si="5">1-I18</f>
        <v>0</v>
      </c>
      <c r="K18" s="496"/>
      <c r="L18" s="496"/>
      <c r="M18" s="513"/>
      <c r="N18" s="513"/>
      <c r="O18" s="495">
        <v>2140000</v>
      </c>
      <c r="P18" s="513"/>
      <c r="Q18" s="497" t="s">
        <v>120</v>
      </c>
      <c r="R18" s="492">
        <v>50</v>
      </c>
      <c r="S18" s="497">
        <v>15</v>
      </c>
      <c r="T18" s="513"/>
      <c r="U18" s="626"/>
      <c r="V18" s="493">
        <f t="shared" si="3"/>
        <v>3531000</v>
      </c>
      <c r="W18" s="519">
        <f>V18*(1+Assumptions!$B$19)^1</f>
        <v>3619274.9999999995</v>
      </c>
      <c r="X18" s="519">
        <f>W18*(1+Assumptions!$B$19)^1</f>
        <v>3709756.8749999991</v>
      </c>
      <c r="Y18" s="515" t="s">
        <v>76</v>
      </c>
      <c r="Z18" s="515"/>
      <c r="AA18" s="515"/>
      <c r="AB18" s="515"/>
      <c r="AC18" s="515"/>
      <c r="AD18" s="513"/>
      <c r="AE18" s="513"/>
      <c r="AF18" s="493">
        <f t="shared" si="4"/>
        <v>3709756.8749999991</v>
      </c>
      <c r="AG18" s="494"/>
      <c r="AH18" s="494"/>
      <c r="AI18" s="494">
        <f t="shared" si="1"/>
        <v>3709756.8749999991</v>
      </c>
      <c r="AJ18" s="494">
        <f t="shared" si="2"/>
        <v>0</v>
      </c>
      <c r="AK18" s="542" t="s">
        <v>76</v>
      </c>
      <c r="AL18" s="492">
        <v>2474</v>
      </c>
      <c r="AM18" s="543"/>
      <c r="AN18" s="731"/>
      <c r="AO18"/>
    </row>
    <row r="19" spans="1:41" ht="24.6" thickBot="1">
      <c r="A19" s="740"/>
      <c r="B19" s="546">
        <v>61</v>
      </c>
      <c r="C19" s="522" t="s">
        <v>74</v>
      </c>
      <c r="D19" s="521"/>
      <c r="E19" s="520" t="s">
        <v>94</v>
      </c>
      <c r="F19" s="520" t="s">
        <v>95</v>
      </c>
      <c r="G19" s="520">
        <v>2032</v>
      </c>
      <c r="H19" s="520">
        <v>2033</v>
      </c>
      <c r="I19" s="523">
        <v>1</v>
      </c>
      <c r="J19" s="523">
        <f t="shared" ref="J19" si="6">1-I19</f>
        <v>0</v>
      </c>
      <c r="K19" s="523"/>
      <c r="L19" s="523"/>
      <c r="M19" s="525"/>
      <c r="N19" s="525"/>
      <c r="O19" s="529">
        <v>892000</v>
      </c>
      <c r="P19" s="525"/>
      <c r="Q19" s="526" t="s">
        <v>120</v>
      </c>
      <c r="R19" s="527">
        <v>50</v>
      </c>
      <c r="S19" s="526">
        <v>15</v>
      </c>
      <c r="T19" s="525"/>
      <c r="U19" s="627"/>
      <c r="V19" s="524">
        <f t="shared" si="3"/>
        <v>1472000</v>
      </c>
      <c r="W19" s="531">
        <f>V19*(1+Assumptions!$B$19)^1</f>
        <v>1508799.9999999998</v>
      </c>
      <c r="X19" s="531">
        <f>W19*(1+Assumptions!$B$19)^1</f>
        <v>1546519.9999999995</v>
      </c>
      <c r="Y19" s="530" t="s">
        <v>76</v>
      </c>
      <c r="Z19" s="530"/>
      <c r="AA19" s="530"/>
      <c r="AB19" s="530"/>
      <c r="AC19" s="530"/>
      <c r="AD19" s="525"/>
      <c r="AE19" s="525"/>
      <c r="AF19" s="524">
        <f t="shared" si="4"/>
        <v>1546519.9999999995</v>
      </c>
      <c r="AG19" s="532"/>
      <c r="AH19" s="532"/>
      <c r="AI19" s="532">
        <f t="shared" si="1"/>
        <v>1546519.9999999995</v>
      </c>
      <c r="AJ19" s="532">
        <f t="shared" si="2"/>
        <v>0</v>
      </c>
      <c r="AK19" s="547" t="s">
        <v>76</v>
      </c>
      <c r="AL19" s="527">
        <v>920</v>
      </c>
      <c r="AM19" s="548"/>
      <c r="AN19" s="731"/>
      <c r="AO19"/>
    </row>
    <row r="20" spans="1:41" ht="14.4">
      <c r="J20" s="149"/>
      <c r="K20" s="149"/>
      <c r="L20" s="149"/>
      <c r="O20" s="149"/>
      <c r="Q20" s="149"/>
      <c r="R20" s="149"/>
      <c r="S20" s="149"/>
      <c r="V20" s="148"/>
      <c r="W20" s="148"/>
      <c r="X20" s="156">
        <f>SUM(X12:X19)</f>
        <v>33197161.969999999</v>
      </c>
      <c r="Y20" s="148"/>
      <c r="Z20" s="148"/>
      <c r="AA20" s="148"/>
      <c r="AB20" s="148"/>
      <c r="AC20" s="148"/>
      <c r="AG20" s="148"/>
      <c r="AH20" s="148"/>
      <c r="AI20" s="195"/>
      <c r="AJ20" s="148"/>
      <c r="AK20" s="148"/>
      <c r="AL20" s="148"/>
      <c r="AM20" s="148"/>
      <c r="AN20"/>
      <c r="AO20"/>
    </row>
    <row r="21" spans="1:41" ht="15" thickBot="1">
      <c r="AN21"/>
      <c r="AO21"/>
    </row>
    <row r="22" spans="1:41" ht="24">
      <c r="A22" s="732" t="s">
        <v>115</v>
      </c>
      <c r="B22" s="535" t="s">
        <v>104</v>
      </c>
      <c r="C22" s="536" t="s">
        <v>105</v>
      </c>
      <c r="D22" s="499"/>
      <c r="E22" s="498" t="s">
        <v>272</v>
      </c>
      <c r="F22" s="498" t="s">
        <v>95</v>
      </c>
      <c r="G22" s="498">
        <v>2026</v>
      </c>
      <c r="H22" s="498">
        <v>2027</v>
      </c>
      <c r="I22" s="500">
        <v>1</v>
      </c>
      <c r="J22" s="500">
        <v>0</v>
      </c>
      <c r="K22" s="500"/>
      <c r="L22" s="500"/>
      <c r="M22" s="501"/>
      <c r="N22" s="501"/>
      <c r="O22" s="537">
        <v>823500</v>
      </c>
      <c r="P22" s="501"/>
      <c r="Q22" s="538" t="s">
        <v>120</v>
      </c>
      <c r="R22" s="503">
        <v>0</v>
      </c>
      <c r="S22" s="538">
        <v>15</v>
      </c>
      <c r="T22" s="501"/>
      <c r="U22" s="625"/>
      <c r="V22" s="505">
        <f>MROUND((O22+(O22*(R22/100))+(O22*(S22/100))),1000)+1000</f>
        <v>948000</v>
      </c>
      <c r="W22" s="507">
        <f>V22*(1+Assumptions!$B$19)^1</f>
        <v>971699.99999999988</v>
      </c>
      <c r="X22" s="507">
        <f>W22*(1+Assumptions!$B$19)^1</f>
        <v>995992.49999999977</v>
      </c>
      <c r="Y22" s="506" t="s">
        <v>76</v>
      </c>
      <c r="Z22" s="506"/>
      <c r="AA22" s="506"/>
      <c r="AB22" s="506"/>
      <c r="AC22" s="506"/>
      <c r="AD22" s="501"/>
      <c r="AE22" s="501"/>
      <c r="AF22" s="505">
        <f t="shared" ref="AF22:AF43" si="7">X22-AD22</f>
        <v>995992.49999999977</v>
      </c>
      <c r="AG22" s="508"/>
      <c r="AH22" s="508"/>
      <c r="AI22" s="508">
        <f t="shared" ref="AI22:AI33" si="8">AF22*I22</f>
        <v>995992.49999999977</v>
      </c>
      <c r="AJ22" s="508">
        <f t="shared" ref="AJ22:AJ43" si="9">AF22*J22</f>
        <v>0</v>
      </c>
      <c r="AK22" s="539" t="s">
        <v>77</v>
      </c>
      <c r="AL22" s="503">
        <v>610</v>
      </c>
      <c r="AM22" s="540">
        <f>AL22*('Oversize Costs'!D16-'Oversize Costs'!D8)</f>
        <v>569740</v>
      </c>
      <c r="AN22" s="731" t="s">
        <v>299</v>
      </c>
      <c r="AO22"/>
    </row>
    <row r="23" spans="1:41" ht="14.4">
      <c r="A23" s="733"/>
      <c r="B23" s="541">
        <v>47</v>
      </c>
      <c r="C23" s="518" t="s">
        <v>67</v>
      </c>
      <c r="D23" s="512"/>
      <c r="E23" s="511" t="s">
        <v>272</v>
      </c>
      <c r="F23" s="511" t="s">
        <v>95</v>
      </c>
      <c r="G23" s="511">
        <v>2031</v>
      </c>
      <c r="H23" s="511">
        <v>2032</v>
      </c>
      <c r="I23" s="496">
        <v>1</v>
      </c>
      <c r="J23" s="496">
        <f>1-I23</f>
        <v>0</v>
      </c>
      <c r="K23" s="496"/>
      <c r="L23" s="496"/>
      <c r="M23" s="513"/>
      <c r="N23" s="513"/>
      <c r="O23" s="495">
        <v>1727000</v>
      </c>
      <c r="P23" s="513"/>
      <c r="Q23" s="497" t="s">
        <v>120</v>
      </c>
      <c r="R23" s="492">
        <v>35</v>
      </c>
      <c r="S23" s="497">
        <v>15</v>
      </c>
      <c r="T23" s="513"/>
      <c r="U23" s="626"/>
      <c r="V23" s="493">
        <f t="shared" ref="V23" si="10">MROUND((O23+(O23*(R23/100))+(O23*(S23/100))),1000)</f>
        <v>2591000</v>
      </c>
      <c r="W23" s="519">
        <f>V23*(1+Assumptions!$B$19)^1</f>
        <v>2655775</v>
      </c>
      <c r="X23" s="519">
        <f>W23*(1+Assumptions!$B$19)^1</f>
        <v>2722169.3749999995</v>
      </c>
      <c r="Y23" s="515" t="s">
        <v>76</v>
      </c>
      <c r="Z23" s="515"/>
      <c r="AA23" s="515"/>
      <c r="AB23" s="515"/>
      <c r="AC23" s="515"/>
      <c r="AD23" s="513"/>
      <c r="AE23" s="513"/>
      <c r="AF23" s="493">
        <f t="shared" si="7"/>
        <v>2722169.3749999995</v>
      </c>
      <c r="AG23" s="494"/>
      <c r="AH23" s="494"/>
      <c r="AI23" s="494">
        <f t="shared" si="8"/>
        <v>2722169.3749999995</v>
      </c>
      <c r="AJ23" s="494">
        <f t="shared" si="9"/>
        <v>0</v>
      </c>
      <c r="AK23" s="542" t="s">
        <v>77</v>
      </c>
      <c r="AL23" s="492">
        <v>2258</v>
      </c>
      <c r="AM23" s="543">
        <f>AI23-(AL23*'Oversize Costs'!D8)</f>
        <v>1879935.3749999995</v>
      </c>
      <c r="AN23" s="731"/>
      <c r="AO23"/>
    </row>
    <row r="24" spans="1:41" ht="14.4">
      <c r="A24" s="733"/>
      <c r="B24" s="541">
        <v>48</v>
      </c>
      <c r="C24" s="518" t="s">
        <v>68</v>
      </c>
      <c r="D24" s="512"/>
      <c r="E24" s="511" t="s">
        <v>272</v>
      </c>
      <c r="F24" s="511" t="s">
        <v>95</v>
      </c>
      <c r="G24" s="511">
        <v>2027</v>
      </c>
      <c r="H24" s="511">
        <v>2028</v>
      </c>
      <c r="I24" s="496">
        <v>1</v>
      </c>
      <c r="J24" s="496">
        <f t="shared" ref="J24:J32" si="11">1-I24</f>
        <v>0</v>
      </c>
      <c r="K24" s="496"/>
      <c r="L24" s="496"/>
      <c r="M24" s="513"/>
      <c r="N24" s="513"/>
      <c r="O24" s="495">
        <v>313000</v>
      </c>
      <c r="P24" s="513"/>
      <c r="Q24" s="497" t="s">
        <v>120</v>
      </c>
      <c r="R24" s="492">
        <v>0</v>
      </c>
      <c r="S24" s="497">
        <v>15</v>
      </c>
      <c r="T24" s="513"/>
      <c r="U24" s="626"/>
      <c r="V24" s="493">
        <f t="shared" ref="V24:V33" si="12">MROUND((O24+(O24*(R24/100))+(O24*(S24/100))),1000)</f>
        <v>360000</v>
      </c>
      <c r="W24" s="519">
        <f>V24*(1+Assumptions!$B$19)^1</f>
        <v>368999.99999999994</v>
      </c>
      <c r="X24" s="519">
        <f>W24*(1+Assumptions!$B$19)^1</f>
        <v>378224.99999999988</v>
      </c>
      <c r="Y24" s="515" t="s">
        <v>76</v>
      </c>
      <c r="Z24" s="515"/>
      <c r="AA24" s="515"/>
      <c r="AB24" s="515"/>
      <c r="AC24" s="515"/>
      <c r="AD24" s="513"/>
      <c r="AE24" s="513"/>
      <c r="AF24" s="493">
        <f t="shared" si="7"/>
        <v>378224.99999999988</v>
      </c>
      <c r="AG24" s="494"/>
      <c r="AH24" s="494"/>
      <c r="AI24" s="494">
        <f t="shared" si="8"/>
        <v>378224.99999999988</v>
      </c>
      <c r="AJ24" s="494">
        <f t="shared" si="9"/>
        <v>0</v>
      </c>
      <c r="AK24" s="542" t="s">
        <v>77</v>
      </c>
      <c r="AL24" s="492">
        <v>271</v>
      </c>
      <c r="AM24" s="543">
        <f>AL24*('Oversize Costs'!D15-'Oversize Costs'!D8)</f>
        <v>194578</v>
      </c>
      <c r="AN24" s="731"/>
      <c r="AO24"/>
    </row>
    <row r="25" spans="1:41" ht="14.4">
      <c r="A25" s="733"/>
      <c r="B25" s="541" t="s">
        <v>59</v>
      </c>
      <c r="C25" s="518" t="s">
        <v>69</v>
      </c>
      <c r="D25" s="512"/>
      <c r="E25" s="511" t="s">
        <v>272</v>
      </c>
      <c r="F25" s="511" t="s">
        <v>95</v>
      </c>
      <c r="G25" s="511">
        <v>2028</v>
      </c>
      <c r="H25" s="511">
        <v>2029</v>
      </c>
      <c r="I25" s="496">
        <v>1</v>
      </c>
      <c r="J25" s="496">
        <f t="shared" si="11"/>
        <v>0</v>
      </c>
      <c r="K25" s="496"/>
      <c r="L25" s="496"/>
      <c r="M25" s="513"/>
      <c r="N25" s="513"/>
      <c r="O25" s="495">
        <v>202000</v>
      </c>
      <c r="P25" s="513"/>
      <c r="Q25" s="497" t="s">
        <v>120</v>
      </c>
      <c r="R25" s="492">
        <v>0</v>
      </c>
      <c r="S25" s="497">
        <v>15</v>
      </c>
      <c r="T25" s="513"/>
      <c r="U25" s="626"/>
      <c r="V25" s="493">
        <f t="shared" si="12"/>
        <v>232000</v>
      </c>
      <c r="W25" s="519">
        <f>V25*(1+Assumptions!$B$19)^1</f>
        <v>237799.99999999997</v>
      </c>
      <c r="X25" s="519">
        <f>W25*(1+Assumptions!$B$19)^1</f>
        <v>243744.99999999994</v>
      </c>
      <c r="Y25" s="515" t="s">
        <v>76</v>
      </c>
      <c r="Z25" s="515"/>
      <c r="AA25" s="515"/>
      <c r="AB25" s="515"/>
      <c r="AC25" s="515"/>
      <c r="AD25" s="513"/>
      <c r="AE25" s="513"/>
      <c r="AF25" s="493">
        <f t="shared" si="7"/>
        <v>243744.99999999994</v>
      </c>
      <c r="AG25" s="494"/>
      <c r="AH25" s="494"/>
      <c r="AI25" s="494">
        <f t="shared" si="8"/>
        <v>243744.99999999994</v>
      </c>
      <c r="AJ25" s="494">
        <f t="shared" si="9"/>
        <v>0</v>
      </c>
      <c r="AK25" s="542" t="s">
        <v>77</v>
      </c>
      <c r="AL25" s="492">
        <v>233</v>
      </c>
      <c r="AM25" s="543">
        <f>AL25*('Oversize Costs'!D13-'Oversize Costs'!D8)</f>
        <v>84579</v>
      </c>
      <c r="AN25" s="731"/>
      <c r="AO25"/>
    </row>
    <row r="26" spans="1:41" ht="14.4">
      <c r="A26" s="733"/>
      <c r="B26" s="541" t="s">
        <v>60</v>
      </c>
      <c r="C26" s="518" t="s">
        <v>69</v>
      </c>
      <c r="D26" s="512"/>
      <c r="E26" s="511" t="s">
        <v>272</v>
      </c>
      <c r="F26" s="511" t="s">
        <v>95</v>
      </c>
      <c r="G26" s="511">
        <v>2029</v>
      </c>
      <c r="H26" s="511">
        <v>2030</v>
      </c>
      <c r="I26" s="496">
        <v>1</v>
      </c>
      <c r="J26" s="496">
        <f t="shared" si="11"/>
        <v>0</v>
      </c>
      <c r="K26" s="496"/>
      <c r="L26" s="496"/>
      <c r="M26" s="513"/>
      <c r="N26" s="513"/>
      <c r="O26" s="495">
        <v>332000</v>
      </c>
      <c r="P26" s="513"/>
      <c r="Q26" s="497" t="s">
        <v>120</v>
      </c>
      <c r="R26" s="492">
        <v>0</v>
      </c>
      <c r="S26" s="497">
        <v>15</v>
      </c>
      <c r="T26" s="513"/>
      <c r="U26" s="626"/>
      <c r="V26" s="493">
        <f t="shared" si="12"/>
        <v>382000</v>
      </c>
      <c r="W26" s="519">
        <f>V26*(1+Assumptions!$B$19)^1</f>
        <v>391549.99999999994</v>
      </c>
      <c r="X26" s="519">
        <f>W26*(1+Assumptions!$B$19)^1</f>
        <v>401338.74999999988</v>
      </c>
      <c r="Y26" s="515" t="s">
        <v>76</v>
      </c>
      <c r="Z26" s="515"/>
      <c r="AA26" s="515"/>
      <c r="AB26" s="515"/>
      <c r="AC26" s="515"/>
      <c r="AD26" s="513"/>
      <c r="AE26" s="513"/>
      <c r="AF26" s="493">
        <f t="shared" si="7"/>
        <v>401338.74999999988</v>
      </c>
      <c r="AG26" s="494"/>
      <c r="AH26" s="494"/>
      <c r="AI26" s="494">
        <f t="shared" si="8"/>
        <v>401338.74999999988</v>
      </c>
      <c r="AJ26" s="494">
        <f t="shared" si="9"/>
        <v>0</v>
      </c>
      <c r="AK26" s="542" t="s">
        <v>77</v>
      </c>
      <c r="AL26" s="492">
        <v>384</v>
      </c>
      <c r="AM26" s="543">
        <f>AL26*('Oversize Costs'!D13-'Oversize Costs'!D8)</f>
        <v>139392</v>
      </c>
      <c r="AN26" s="731"/>
      <c r="AO26"/>
    </row>
    <row r="27" spans="1:41" ht="14.4">
      <c r="A27" s="733"/>
      <c r="B27" s="541">
        <v>51</v>
      </c>
      <c r="C27" s="518" t="s">
        <v>70</v>
      </c>
      <c r="D27" s="512"/>
      <c r="E27" s="511" t="s">
        <v>272</v>
      </c>
      <c r="F27" s="511" t="s">
        <v>95</v>
      </c>
      <c r="G27" s="511">
        <v>2040</v>
      </c>
      <c r="H27" s="511">
        <v>2041</v>
      </c>
      <c r="I27" s="496">
        <v>1</v>
      </c>
      <c r="J27" s="496">
        <f t="shared" si="11"/>
        <v>0</v>
      </c>
      <c r="K27" s="496"/>
      <c r="L27" s="496"/>
      <c r="M27" s="513"/>
      <c r="N27" s="513"/>
      <c r="O27" s="495">
        <v>164000</v>
      </c>
      <c r="P27" s="513"/>
      <c r="Q27" s="497" t="s">
        <v>120</v>
      </c>
      <c r="R27" s="492">
        <v>0</v>
      </c>
      <c r="S27" s="497">
        <v>15</v>
      </c>
      <c r="T27" s="513"/>
      <c r="U27" s="626"/>
      <c r="V27" s="493">
        <f t="shared" si="12"/>
        <v>189000</v>
      </c>
      <c r="W27" s="519">
        <f>V27*(1+Assumptions!$B$19)^1</f>
        <v>193724.99999999997</v>
      </c>
      <c r="X27" s="519">
        <f>W27*(1+Assumptions!$B$19)^1</f>
        <v>198568.12499999994</v>
      </c>
      <c r="Y27" s="515" t="s">
        <v>76</v>
      </c>
      <c r="Z27" s="515"/>
      <c r="AA27" s="515"/>
      <c r="AB27" s="515"/>
      <c r="AC27" s="515"/>
      <c r="AD27" s="513"/>
      <c r="AE27" s="513"/>
      <c r="AF27" s="493">
        <f t="shared" si="7"/>
        <v>198568.12499999994</v>
      </c>
      <c r="AG27" s="494"/>
      <c r="AH27" s="494"/>
      <c r="AI27" s="494">
        <f t="shared" si="8"/>
        <v>198568.12499999994</v>
      </c>
      <c r="AJ27" s="494">
        <f t="shared" si="9"/>
        <v>0</v>
      </c>
      <c r="AK27" s="542" t="s">
        <v>77</v>
      </c>
      <c r="AL27" s="492">
        <v>287</v>
      </c>
      <c r="AM27" s="543">
        <f>AL27*('Oversize Costs'!D10-'Oversize Costs'!D8)</f>
        <v>34440</v>
      </c>
      <c r="AN27" s="731"/>
      <c r="AO27"/>
    </row>
    <row r="28" spans="1:41" ht="14.4">
      <c r="A28" s="733"/>
      <c r="B28" s="541" t="s">
        <v>61</v>
      </c>
      <c r="C28" s="518" t="s">
        <v>71</v>
      </c>
      <c r="D28" s="512"/>
      <c r="E28" s="511" t="s">
        <v>272</v>
      </c>
      <c r="F28" s="511" t="s">
        <v>95</v>
      </c>
      <c r="G28" s="511">
        <v>2030</v>
      </c>
      <c r="H28" s="511">
        <v>2031</v>
      </c>
      <c r="I28" s="496">
        <v>1</v>
      </c>
      <c r="J28" s="496">
        <f t="shared" si="11"/>
        <v>0</v>
      </c>
      <c r="K28" s="496"/>
      <c r="L28" s="496"/>
      <c r="M28" s="513"/>
      <c r="N28" s="513"/>
      <c r="O28" s="495">
        <v>255000</v>
      </c>
      <c r="P28" s="513"/>
      <c r="Q28" s="497" t="s">
        <v>120</v>
      </c>
      <c r="R28" s="492">
        <v>0</v>
      </c>
      <c r="S28" s="497">
        <v>15</v>
      </c>
      <c r="T28" s="513"/>
      <c r="U28" s="626"/>
      <c r="V28" s="493">
        <f t="shared" si="12"/>
        <v>293000</v>
      </c>
      <c r="W28" s="519">
        <f>V28*(1+Assumptions!$B$19)^1</f>
        <v>300325</v>
      </c>
      <c r="X28" s="519">
        <f>W28*(1+Assumptions!$B$19)^1</f>
        <v>307833.125</v>
      </c>
      <c r="Y28" s="515" t="s">
        <v>76</v>
      </c>
      <c r="Z28" s="515"/>
      <c r="AA28" s="515"/>
      <c r="AB28" s="515"/>
      <c r="AC28" s="515"/>
      <c r="AD28" s="513"/>
      <c r="AE28" s="513"/>
      <c r="AF28" s="493">
        <f t="shared" si="7"/>
        <v>307833.125</v>
      </c>
      <c r="AG28" s="494"/>
      <c r="AH28" s="494"/>
      <c r="AI28" s="494">
        <f t="shared" si="8"/>
        <v>307833.125</v>
      </c>
      <c r="AJ28" s="494">
        <f t="shared" si="9"/>
        <v>0</v>
      </c>
      <c r="AK28" s="542" t="s">
        <v>77</v>
      </c>
      <c r="AL28" s="492">
        <v>396</v>
      </c>
      <c r="AM28" s="543">
        <f>AL28*('Oversize Costs'!D11-'Oversize Costs'!D8)</f>
        <v>81576</v>
      </c>
      <c r="AN28" s="731"/>
      <c r="AO28"/>
    </row>
    <row r="29" spans="1:41" ht="14.4">
      <c r="A29" s="733"/>
      <c r="B29" s="541" t="s">
        <v>62</v>
      </c>
      <c r="C29" s="518" t="s">
        <v>71</v>
      </c>
      <c r="D29" s="512"/>
      <c r="E29" s="511" t="s">
        <v>272</v>
      </c>
      <c r="F29" s="511" t="s">
        <v>95</v>
      </c>
      <c r="G29" s="511">
        <v>2029</v>
      </c>
      <c r="H29" s="511">
        <v>2030</v>
      </c>
      <c r="I29" s="496">
        <v>1</v>
      </c>
      <c r="J29" s="496">
        <f t="shared" si="11"/>
        <v>0</v>
      </c>
      <c r="K29" s="496"/>
      <c r="L29" s="496"/>
      <c r="M29" s="513"/>
      <c r="N29" s="513"/>
      <c r="O29" s="495">
        <v>379000</v>
      </c>
      <c r="P29" s="513"/>
      <c r="Q29" s="497" t="s">
        <v>120</v>
      </c>
      <c r="R29" s="492">
        <v>0</v>
      </c>
      <c r="S29" s="497">
        <v>15</v>
      </c>
      <c r="T29" s="513"/>
      <c r="U29" s="626"/>
      <c r="V29" s="493">
        <f t="shared" si="12"/>
        <v>436000</v>
      </c>
      <c r="W29" s="519">
        <f>V29*(1+Assumptions!$B$19)^1</f>
        <v>446899.99999999994</v>
      </c>
      <c r="X29" s="519">
        <f>W29*(1+Assumptions!$B$19)^1</f>
        <v>458072.49999999988</v>
      </c>
      <c r="Y29" s="515" t="s">
        <v>76</v>
      </c>
      <c r="Z29" s="515"/>
      <c r="AA29" s="515"/>
      <c r="AB29" s="515"/>
      <c r="AC29" s="515"/>
      <c r="AD29" s="513"/>
      <c r="AE29" s="513"/>
      <c r="AF29" s="493">
        <f t="shared" si="7"/>
        <v>458072.49999999988</v>
      </c>
      <c r="AG29" s="494"/>
      <c r="AH29" s="494"/>
      <c r="AI29" s="494">
        <f t="shared" si="8"/>
        <v>458072.49999999988</v>
      </c>
      <c r="AJ29" s="494">
        <f t="shared" si="9"/>
        <v>0</v>
      </c>
      <c r="AK29" s="542" t="s">
        <v>77</v>
      </c>
      <c r="AL29" s="492">
        <v>588</v>
      </c>
      <c r="AM29" s="543">
        <f>AL29*('Oversize Costs'!D11-'Oversize Costs'!D8)</f>
        <v>121128</v>
      </c>
      <c r="AN29" s="731"/>
      <c r="AO29"/>
    </row>
    <row r="30" spans="1:41" ht="14.4">
      <c r="A30" s="733"/>
      <c r="B30" s="541">
        <v>55</v>
      </c>
      <c r="C30" s="518" t="s">
        <v>70</v>
      </c>
      <c r="D30" s="512"/>
      <c r="E30" s="511" t="s">
        <v>272</v>
      </c>
      <c r="F30" s="511" t="s">
        <v>95</v>
      </c>
      <c r="G30" s="511">
        <v>2030</v>
      </c>
      <c r="H30" s="511">
        <v>2031</v>
      </c>
      <c r="I30" s="496">
        <v>1</v>
      </c>
      <c r="J30" s="496">
        <f t="shared" si="11"/>
        <v>0</v>
      </c>
      <c r="K30" s="496"/>
      <c r="L30" s="496"/>
      <c r="M30" s="513"/>
      <c r="N30" s="513"/>
      <c r="O30" s="495">
        <v>456000</v>
      </c>
      <c r="P30" s="513"/>
      <c r="Q30" s="497" t="s">
        <v>120</v>
      </c>
      <c r="R30" s="492">
        <v>0</v>
      </c>
      <c r="S30" s="497">
        <v>15</v>
      </c>
      <c r="T30" s="513"/>
      <c r="U30" s="626"/>
      <c r="V30" s="493">
        <f t="shared" si="12"/>
        <v>524000</v>
      </c>
      <c r="W30" s="519">
        <f>V30*(1+Assumptions!$B$19)^1</f>
        <v>537100</v>
      </c>
      <c r="X30" s="519">
        <f>W30*(1+Assumptions!$B$19)^1</f>
        <v>550527.5</v>
      </c>
      <c r="Y30" s="515" t="s">
        <v>76</v>
      </c>
      <c r="Z30" s="515"/>
      <c r="AA30" s="515"/>
      <c r="AB30" s="515"/>
      <c r="AC30" s="515"/>
      <c r="AD30" s="513"/>
      <c r="AE30" s="513"/>
      <c r="AF30" s="493">
        <f t="shared" si="7"/>
        <v>550527.5</v>
      </c>
      <c r="AG30" s="494"/>
      <c r="AH30" s="494"/>
      <c r="AI30" s="494">
        <f>AF30*I30</f>
        <v>550527.5</v>
      </c>
      <c r="AJ30" s="494">
        <f t="shared" si="9"/>
        <v>0</v>
      </c>
      <c r="AK30" s="542" t="s">
        <v>77</v>
      </c>
      <c r="AL30" s="492">
        <v>800</v>
      </c>
      <c r="AM30" s="543">
        <f>AL30*('Oversize Costs'!D10-'Oversize Costs'!D8)</f>
        <v>96000</v>
      </c>
      <c r="AN30" s="731"/>
      <c r="AO30"/>
    </row>
    <row r="31" spans="1:41" ht="14.4">
      <c r="A31" s="733"/>
      <c r="B31" s="541">
        <v>59</v>
      </c>
      <c r="C31" s="518" t="s">
        <v>72</v>
      </c>
      <c r="D31" s="512"/>
      <c r="E31" s="511" t="s">
        <v>272</v>
      </c>
      <c r="F31" s="511" t="s">
        <v>95</v>
      </c>
      <c r="G31" s="511">
        <v>2030</v>
      </c>
      <c r="H31" s="511">
        <v>2031</v>
      </c>
      <c r="I31" s="496">
        <v>1</v>
      </c>
      <c r="J31" s="496">
        <f t="shared" si="11"/>
        <v>0</v>
      </c>
      <c r="K31" s="496"/>
      <c r="L31" s="496"/>
      <c r="M31" s="513"/>
      <c r="N31" s="513"/>
      <c r="O31" s="495">
        <v>140000</v>
      </c>
      <c r="P31" s="513"/>
      <c r="Q31" s="497" t="s">
        <v>120</v>
      </c>
      <c r="R31" s="492">
        <v>0</v>
      </c>
      <c r="S31" s="497">
        <v>15</v>
      </c>
      <c r="T31" s="513"/>
      <c r="U31" s="626"/>
      <c r="V31" s="493">
        <f t="shared" si="12"/>
        <v>161000</v>
      </c>
      <c r="W31" s="519">
        <f>V31*(1+Assumptions!$B$19)^1</f>
        <v>165025</v>
      </c>
      <c r="X31" s="519">
        <f>W31*(1+Assumptions!$B$19)^1</f>
        <v>169150.62499999997</v>
      </c>
      <c r="Y31" s="515" t="s">
        <v>76</v>
      </c>
      <c r="Z31" s="515"/>
      <c r="AA31" s="515"/>
      <c r="AB31" s="515"/>
      <c r="AC31" s="515"/>
      <c r="AD31" s="513"/>
      <c r="AE31" s="513"/>
      <c r="AF31" s="493">
        <f t="shared" si="7"/>
        <v>169150.62499999997</v>
      </c>
      <c r="AG31" s="494"/>
      <c r="AH31" s="494"/>
      <c r="AI31" s="494">
        <f t="shared" si="8"/>
        <v>169150.62499999997</v>
      </c>
      <c r="AJ31" s="494">
        <f t="shared" si="9"/>
        <v>0</v>
      </c>
      <c r="AK31" s="542" t="s">
        <v>77</v>
      </c>
      <c r="AL31" s="492">
        <v>189</v>
      </c>
      <c r="AM31" s="543">
        <f>AL31*('Oversize Costs'!D12-'Oversize Costs'!D8)</f>
        <v>55944</v>
      </c>
      <c r="AN31" s="731"/>
      <c r="AO31"/>
    </row>
    <row r="32" spans="1:41" ht="14.4">
      <c r="A32" s="733"/>
      <c r="B32" s="541">
        <v>65</v>
      </c>
      <c r="C32" s="518" t="s">
        <v>69</v>
      </c>
      <c r="D32" s="512"/>
      <c r="E32" s="511" t="s">
        <v>272</v>
      </c>
      <c r="F32" s="511" t="s">
        <v>95</v>
      </c>
      <c r="G32" s="511">
        <v>2029</v>
      </c>
      <c r="H32" s="511">
        <v>2030</v>
      </c>
      <c r="I32" s="496">
        <v>1</v>
      </c>
      <c r="J32" s="496">
        <f t="shared" si="11"/>
        <v>0</v>
      </c>
      <c r="K32" s="496"/>
      <c r="L32" s="496"/>
      <c r="M32" s="513"/>
      <c r="N32" s="513"/>
      <c r="O32" s="495">
        <v>522000</v>
      </c>
      <c r="P32" s="513"/>
      <c r="Q32" s="497" t="s">
        <v>120</v>
      </c>
      <c r="R32" s="492">
        <v>0</v>
      </c>
      <c r="S32" s="497">
        <v>15</v>
      </c>
      <c r="T32" s="513"/>
      <c r="U32" s="626"/>
      <c r="V32" s="493">
        <f t="shared" si="12"/>
        <v>600000</v>
      </c>
      <c r="W32" s="519">
        <f>V32*(1+Assumptions!$B$19)^1</f>
        <v>615000</v>
      </c>
      <c r="X32" s="519">
        <f>W32*(1+Assumptions!$B$19)^1</f>
        <v>630375</v>
      </c>
      <c r="Y32" s="515" t="s">
        <v>76</v>
      </c>
      <c r="Z32" s="515"/>
      <c r="AA32" s="515"/>
      <c r="AB32" s="515"/>
      <c r="AC32" s="515"/>
      <c r="AD32" s="513"/>
      <c r="AE32" s="513"/>
      <c r="AF32" s="493">
        <f t="shared" si="7"/>
        <v>630375</v>
      </c>
      <c r="AG32" s="494"/>
      <c r="AH32" s="494"/>
      <c r="AI32" s="494">
        <f t="shared" si="8"/>
        <v>630375</v>
      </c>
      <c r="AJ32" s="494">
        <f t="shared" si="9"/>
        <v>0</v>
      </c>
      <c r="AK32" s="542" t="s">
        <v>77</v>
      </c>
      <c r="AL32" s="492">
        <v>604</v>
      </c>
      <c r="AM32" s="543">
        <f>AL32*('Oversize Costs'!D13-'Oversize Costs'!D8)</f>
        <v>219252</v>
      </c>
      <c r="AN32" s="731"/>
      <c r="AO32"/>
    </row>
    <row r="33" spans="1:41" ht="14.4">
      <c r="A33" s="733"/>
      <c r="B33" s="541">
        <v>68</v>
      </c>
      <c r="C33" s="701" t="s">
        <v>75</v>
      </c>
      <c r="D33" s="513"/>
      <c r="E33" s="511" t="s">
        <v>272</v>
      </c>
      <c r="F33" s="511" t="s">
        <v>95</v>
      </c>
      <c r="G33" s="511">
        <v>2034</v>
      </c>
      <c r="H33" s="511">
        <v>2035</v>
      </c>
      <c r="I33" s="496">
        <v>1</v>
      </c>
      <c r="J33" s="496">
        <f>1-I33</f>
        <v>0</v>
      </c>
      <c r="K33" s="496"/>
      <c r="L33" s="496"/>
      <c r="M33" s="513"/>
      <c r="N33" s="513"/>
      <c r="O33" s="495">
        <v>3275000</v>
      </c>
      <c r="P33" s="513"/>
      <c r="Q33" s="497" t="s">
        <v>120</v>
      </c>
      <c r="R33" s="492">
        <v>35</v>
      </c>
      <c r="S33" s="497">
        <v>15</v>
      </c>
      <c r="T33" s="513"/>
      <c r="U33" s="626"/>
      <c r="V33" s="493">
        <f t="shared" si="12"/>
        <v>4913000</v>
      </c>
      <c r="W33" s="519">
        <f>V33*(1+Assumptions!$B$19)^1</f>
        <v>5035825</v>
      </c>
      <c r="X33" s="519">
        <f>W33*(1+Assumptions!$B$19)^1</f>
        <v>5161720.625</v>
      </c>
      <c r="Y33" s="515" t="s">
        <v>76</v>
      </c>
      <c r="Z33" s="515"/>
      <c r="AA33" s="515"/>
      <c r="AB33" s="515"/>
      <c r="AC33" s="515"/>
      <c r="AD33" s="513"/>
      <c r="AE33" s="513"/>
      <c r="AF33" s="493">
        <f t="shared" si="7"/>
        <v>5161720.625</v>
      </c>
      <c r="AG33" s="494"/>
      <c r="AH33" s="494"/>
      <c r="AI33" s="494">
        <f t="shared" si="8"/>
        <v>5161720.625</v>
      </c>
      <c r="AJ33" s="494">
        <f t="shared" si="9"/>
        <v>0</v>
      </c>
      <c r="AK33" s="542" t="s">
        <v>77</v>
      </c>
      <c r="AL33" s="492">
        <v>618</v>
      </c>
      <c r="AM33" s="543">
        <f>AI33-(AL33*'Oversize Costs'!D8)</f>
        <v>4931206.625</v>
      </c>
      <c r="AN33" s="731"/>
      <c r="AO33"/>
    </row>
    <row r="34" spans="1:41" ht="14.4">
      <c r="A34" s="733"/>
      <c r="B34" s="541">
        <v>69</v>
      </c>
      <c r="C34" s="518" t="s">
        <v>71</v>
      </c>
      <c r="D34" s="512"/>
      <c r="E34" s="511" t="s">
        <v>272</v>
      </c>
      <c r="F34" s="511" t="s">
        <v>95</v>
      </c>
      <c r="G34" s="511">
        <v>2033</v>
      </c>
      <c r="H34" s="511">
        <v>2034</v>
      </c>
      <c r="I34" s="496">
        <v>1</v>
      </c>
      <c r="J34" s="496">
        <v>0</v>
      </c>
      <c r="K34" s="496"/>
      <c r="L34" s="496"/>
      <c r="M34" s="513"/>
      <c r="N34" s="513"/>
      <c r="O34" s="495">
        <v>595000</v>
      </c>
      <c r="P34" s="513"/>
      <c r="Q34" s="497" t="s">
        <v>120</v>
      </c>
      <c r="R34" s="492">
        <v>0</v>
      </c>
      <c r="S34" s="497">
        <v>15</v>
      </c>
      <c r="T34" s="513"/>
      <c r="U34" s="626"/>
      <c r="V34" s="493">
        <v>684000</v>
      </c>
      <c r="W34" s="519">
        <f>V34*(1+Assumptions!$B$19)^1</f>
        <v>701099.99999999988</v>
      </c>
      <c r="X34" s="519">
        <v>718627.49999999977</v>
      </c>
      <c r="Y34" s="515" t="s">
        <v>76</v>
      </c>
      <c r="Z34" s="515"/>
      <c r="AA34" s="515"/>
      <c r="AB34" s="515"/>
      <c r="AC34" s="515"/>
      <c r="AD34" s="513"/>
      <c r="AE34" s="513"/>
      <c r="AF34" s="493">
        <f t="shared" si="7"/>
        <v>718627.49999999977</v>
      </c>
      <c r="AG34" s="494"/>
      <c r="AH34" s="494"/>
      <c r="AI34" s="494">
        <v>718627.49999999977</v>
      </c>
      <c r="AJ34" s="494">
        <f t="shared" si="9"/>
        <v>0</v>
      </c>
      <c r="AK34" s="542" t="s">
        <v>77</v>
      </c>
      <c r="AL34" s="492">
        <v>923</v>
      </c>
      <c r="AM34" s="543">
        <f>AL34*('Oversize Costs'!D11-'Oversize Costs'!D8)</f>
        <v>190138</v>
      </c>
      <c r="AN34" s="731"/>
      <c r="AO34"/>
    </row>
    <row r="35" spans="1:41" ht="14.4">
      <c r="A35" s="733"/>
      <c r="B35" s="541">
        <v>42</v>
      </c>
      <c r="C35" s="518" t="s">
        <v>321</v>
      </c>
      <c r="D35" s="512"/>
      <c r="E35" s="511" t="s">
        <v>272</v>
      </c>
      <c r="F35" s="511" t="s">
        <v>95</v>
      </c>
      <c r="G35" s="511">
        <v>2034</v>
      </c>
      <c r="H35" s="511">
        <v>2035</v>
      </c>
      <c r="I35" s="496">
        <v>1</v>
      </c>
      <c r="J35" s="496">
        <v>0</v>
      </c>
      <c r="K35" s="496"/>
      <c r="L35" s="496"/>
      <c r="M35" s="513"/>
      <c r="N35" s="513"/>
      <c r="O35" s="495">
        <v>294000</v>
      </c>
      <c r="P35" s="513"/>
      <c r="Q35" s="497" t="s">
        <v>120</v>
      </c>
      <c r="R35" s="492">
        <v>0</v>
      </c>
      <c r="S35" s="497">
        <v>15</v>
      </c>
      <c r="T35" s="513"/>
      <c r="U35" s="626"/>
      <c r="V35" s="493">
        <f>MROUND((O35+(O35*(R35/100))+(O35*(S35/100))),1000)</f>
        <v>338000</v>
      </c>
      <c r="W35" s="519">
        <f>V35*(1+Assumptions!$B$19)^1</f>
        <v>346449.99999999994</v>
      </c>
      <c r="X35" s="519">
        <f>W35*(1+Assumptions!$B$19)^1</f>
        <v>355111.24999999988</v>
      </c>
      <c r="Y35" s="515" t="s">
        <v>76</v>
      </c>
      <c r="Z35" s="515"/>
      <c r="AA35" s="515"/>
      <c r="AB35" s="515"/>
      <c r="AC35" s="515"/>
      <c r="AD35" s="513"/>
      <c r="AE35" s="513"/>
      <c r="AF35" s="493">
        <f t="shared" si="7"/>
        <v>355111.24999999988</v>
      </c>
      <c r="AG35" s="494"/>
      <c r="AH35" s="494"/>
      <c r="AI35" s="494">
        <f t="shared" ref="AI35:AI43" si="13">AF35*I35</f>
        <v>355111.24999999988</v>
      </c>
      <c r="AJ35" s="494">
        <f t="shared" si="9"/>
        <v>0</v>
      </c>
      <c r="AK35" s="542" t="s">
        <v>77</v>
      </c>
      <c r="AL35" s="492">
        <v>619</v>
      </c>
      <c r="AM35" s="543">
        <f>AL35*('Oversize Costs'!$D$9-'Oversize Costs'!$D$8)</f>
        <v>33426</v>
      </c>
      <c r="AN35" s="731"/>
      <c r="AO35"/>
    </row>
    <row r="36" spans="1:41" ht="14.4">
      <c r="A36" s="733"/>
      <c r="B36" s="541" t="s">
        <v>317</v>
      </c>
      <c r="C36" s="518" t="s">
        <v>321</v>
      </c>
      <c r="D36" s="512"/>
      <c r="E36" s="511" t="s">
        <v>272</v>
      </c>
      <c r="F36" s="511" t="s">
        <v>95</v>
      </c>
      <c r="G36" s="511">
        <v>2049</v>
      </c>
      <c r="H36" s="511">
        <v>2050</v>
      </c>
      <c r="I36" s="496">
        <v>1</v>
      </c>
      <c r="J36" s="496">
        <v>0</v>
      </c>
      <c r="K36" s="496"/>
      <c r="L36" s="496"/>
      <c r="M36" s="513"/>
      <c r="N36" s="513"/>
      <c r="O36" s="495">
        <v>523000</v>
      </c>
      <c r="P36" s="513"/>
      <c r="Q36" s="497" t="s">
        <v>120</v>
      </c>
      <c r="R36" s="492">
        <v>0</v>
      </c>
      <c r="S36" s="497">
        <v>15</v>
      </c>
      <c r="T36" s="513"/>
      <c r="U36" s="626"/>
      <c r="V36" s="493">
        <f t="shared" ref="V36:V41" si="14">MROUND((O36+(O36*(R36/100))+(O36*(S36/100))),1000)</f>
        <v>601000</v>
      </c>
      <c r="W36" s="519">
        <f>V36*(1+Assumptions!$B$19)^1</f>
        <v>616025</v>
      </c>
      <c r="X36" s="519">
        <f>W36*(1+Assumptions!$B$19)^1</f>
        <v>631425.625</v>
      </c>
      <c r="Y36" s="515" t="s">
        <v>76</v>
      </c>
      <c r="Z36" s="515"/>
      <c r="AA36" s="515"/>
      <c r="AB36" s="515"/>
      <c r="AC36" s="515"/>
      <c r="AD36" s="513"/>
      <c r="AE36" s="513"/>
      <c r="AF36" s="493">
        <f t="shared" si="7"/>
        <v>631425.625</v>
      </c>
      <c r="AG36" s="494"/>
      <c r="AH36" s="494"/>
      <c r="AI36" s="494">
        <f t="shared" si="13"/>
        <v>631425.625</v>
      </c>
      <c r="AJ36" s="494">
        <f t="shared" si="9"/>
        <v>0</v>
      </c>
      <c r="AK36" s="542" t="s">
        <v>77</v>
      </c>
      <c r="AL36" s="492">
        <v>1100</v>
      </c>
      <c r="AM36" s="543">
        <f>AL36*('Oversize Costs'!$D$9-'Oversize Costs'!$D$8)</f>
        <v>59400</v>
      </c>
      <c r="AN36" s="731"/>
      <c r="AO36"/>
    </row>
    <row r="37" spans="1:41" ht="14.4">
      <c r="A37" s="733"/>
      <c r="B37" s="541" t="s">
        <v>318</v>
      </c>
      <c r="C37" s="518" t="s">
        <v>321</v>
      </c>
      <c r="D37" s="512"/>
      <c r="E37" s="511" t="s">
        <v>272</v>
      </c>
      <c r="F37" s="511" t="s">
        <v>95</v>
      </c>
      <c r="G37" s="511">
        <v>2049</v>
      </c>
      <c r="H37" s="511">
        <v>2050</v>
      </c>
      <c r="I37" s="496">
        <v>1</v>
      </c>
      <c r="J37" s="496">
        <v>0</v>
      </c>
      <c r="K37" s="496"/>
      <c r="L37" s="496"/>
      <c r="M37" s="513"/>
      <c r="N37" s="513"/>
      <c r="O37" s="495">
        <v>74000</v>
      </c>
      <c r="P37" s="513"/>
      <c r="Q37" s="497" t="s">
        <v>120</v>
      </c>
      <c r="R37" s="492">
        <v>0</v>
      </c>
      <c r="S37" s="497">
        <v>15</v>
      </c>
      <c r="T37" s="513"/>
      <c r="U37" s="626"/>
      <c r="V37" s="493">
        <f t="shared" si="14"/>
        <v>85000</v>
      </c>
      <c r="W37" s="519">
        <f>V37*(1+Assumptions!$B$19)^1</f>
        <v>87124.999999999985</v>
      </c>
      <c r="X37" s="519">
        <f>W37*(1+Assumptions!$B$19)^1</f>
        <v>89303.124999999971</v>
      </c>
      <c r="Y37" s="515" t="s">
        <v>76</v>
      </c>
      <c r="Z37" s="515"/>
      <c r="AA37" s="515"/>
      <c r="AB37" s="515"/>
      <c r="AC37" s="515"/>
      <c r="AD37" s="513"/>
      <c r="AE37" s="513"/>
      <c r="AF37" s="493">
        <f t="shared" si="7"/>
        <v>89303.124999999971</v>
      </c>
      <c r="AG37" s="494"/>
      <c r="AH37" s="494"/>
      <c r="AI37" s="494">
        <f t="shared" si="13"/>
        <v>89303.124999999971</v>
      </c>
      <c r="AJ37" s="494">
        <f t="shared" si="9"/>
        <v>0</v>
      </c>
      <c r="AK37" s="542" t="s">
        <v>77</v>
      </c>
      <c r="AL37" s="492">
        <v>155</v>
      </c>
      <c r="AM37" s="543">
        <f>AL37*('Oversize Costs'!$D$9-'Oversize Costs'!$D$8)</f>
        <v>8370</v>
      </c>
      <c r="AN37" s="731"/>
      <c r="AO37"/>
    </row>
    <row r="38" spans="1:41" ht="14.4">
      <c r="A38" s="733"/>
      <c r="B38" s="541" t="s">
        <v>319</v>
      </c>
      <c r="C38" s="518" t="s">
        <v>321</v>
      </c>
      <c r="D38" s="512"/>
      <c r="E38" s="511" t="s">
        <v>272</v>
      </c>
      <c r="F38" s="511" t="s">
        <v>95</v>
      </c>
      <c r="G38" s="511">
        <v>2049</v>
      </c>
      <c r="H38" s="511">
        <v>2050</v>
      </c>
      <c r="I38" s="496">
        <v>1</v>
      </c>
      <c r="J38" s="496">
        <v>0</v>
      </c>
      <c r="K38" s="496"/>
      <c r="L38" s="496"/>
      <c r="M38" s="513"/>
      <c r="N38" s="513"/>
      <c r="O38" s="495">
        <v>359000</v>
      </c>
      <c r="P38" s="513"/>
      <c r="Q38" s="497" t="s">
        <v>120</v>
      </c>
      <c r="R38" s="492">
        <v>0</v>
      </c>
      <c r="S38" s="497">
        <v>15</v>
      </c>
      <c r="T38" s="513"/>
      <c r="U38" s="626"/>
      <c r="V38" s="493">
        <f t="shared" si="14"/>
        <v>413000</v>
      </c>
      <c r="W38" s="519">
        <f>V38*(1+Assumptions!$B$19)^1</f>
        <v>423324.99999999994</v>
      </c>
      <c r="X38" s="519">
        <f>W38*(1+Assumptions!$B$19)^1</f>
        <v>433908.12499999988</v>
      </c>
      <c r="Y38" s="515" t="s">
        <v>76</v>
      </c>
      <c r="Z38" s="515"/>
      <c r="AA38" s="515"/>
      <c r="AB38" s="515"/>
      <c r="AC38" s="515"/>
      <c r="AD38" s="513"/>
      <c r="AE38" s="513"/>
      <c r="AF38" s="493">
        <f t="shared" si="7"/>
        <v>433908.12499999988</v>
      </c>
      <c r="AG38" s="494"/>
      <c r="AH38" s="494"/>
      <c r="AI38" s="494">
        <f t="shared" si="13"/>
        <v>433908.12499999988</v>
      </c>
      <c r="AJ38" s="494">
        <f t="shared" si="9"/>
        <v>0</v>
      </c>
      <c r="AK38" s="542" t="s">
        <v>77</v>
      </c>
      <c r="AL38" s="492">
        <v>756</v>
      </c>
      <c r="AM38" s="543">
        <f>AL38*('Oversize Costs'!$D$9-'Oversize Costs'!$D$8)</f>
        <v>40824</v>
      </c>
      <c r="AN38" s="731"/>
      <c r="AO38"/>
    </row>
    <row r="39" spans="1:41" ht="14.4">
      <c r="A39" s="733"/>
      <c r="B39" s="541" t="s">
        <v>320</v>
      </c>
      <c r="C39" s="518" t="s">
        <v>321</v>
      </c>
      <c r="D39" s="512"/>
      <c r="E39" s="511" t="s">
        <v>272</v>
      </c>
      <c r="F39" s="511" t="s">
        <v>95</v>
      </c>
      <c r="G39" s="511">
        <v>2049</v>
      </c>
      <c r="H39" s="511">
        <v>2050</v>
      </c>
      <c r="I39" s="496">
        <v>1</v>
      </c>
      <c r="J39" s="496">
        <v>0</v>
      </c>
      <c r="K39" s="496"/>
      <c r="L39" s="496"/>
      <c r="M39" s="513"/>
      <c r="N39" s="513"/>
      <c r="O39" s="495">
        <v>171000</v>
      </c>
      <c r="P39" s="513"/>
      <c r="Q39" s="497" t="s">
        <v>120</v>
      </c>
      <c r="R39" s="492">
        <v>0</v>
      </c>
      <c r="S39" s="497">
        <v>15</v>
      </c>
      <c r="T39" s="513"/>
      <c r="U39" s="626"/>
      <c r="V39" s="493">
        <f t="shared" si="14"/>
        <v>197000</v>
      </c>
      <c r="W39" s="519">
        <f>V39*(1+Assumptions!$B$19)^1</f>
        <v>201924.99999999997</v>
      </c>
      <c r="X39" s="519">
        <f>W39*(1+Assumptions!$B$19)^1</f>
        <v>206973.12499999994</v>
      </c>
      <c r="Y39" s="515" t="s">
        <v>76</v>
      </c>
      <c r="Z39" s="515"/>
      <c r="AA39" s="515"/>
      <c r="AB39" s="515"/>
      <c r="AC39" s="515"/>
      <c r="AD39" s="513"/>
      <c r="AE39" s="513"/>
      <c r="AF39" s="493">
        <f t="shared" si="7"/>
        <v>206973.12499999994</v>
      </c>
      <c r="AG39" s="494"/>
      <c r="AH39" s="494"/>
      <c r="AI39" s="494">
        <f t="shared" si="13"/>
        <v>206973.12499999994</v>
      </c>
      <c r="AJ39" s="494">
        <f t="shared" si="9"/>
        <v>0</v>
      </c>
      <c r="AK39" s="542" t="s">
        <v>77</v>
      </c>
      <c r="AL39" s="492">
        <v>361</v>
      </c>
      <c r="AM39" s="543">
        <f>AL39*('Oversize Costs'!$D$9-'Oversize Costs'!$D$8)</f>
        <v>19494</v>
      </c>
      <c r="AN39" s="731"/>
      <c r="AO39"/>
    </row>
    <row r="40" spans="1:41" ht="14.4">
      <c r="A40" s="733"/>
      <c r="B40" s="541">
        <v>52</v>
      </c>
      <c r="C40" s="518" t="s">
        <v>321</v>
      </c>
      <c r="D40" s="512"/>
      <c r="E40" s="511" t="s">
        <v>272</v>
      </c>
      <c r="F40" s="511" t="s">
        <v>95</v>
      </c>
      <c r="G40" s="511">
        <v>2044</v>
      </c>
      <c r="H40" s="511">
        <v>2045</v>
      </c>
      <c r="I40" s="496">
        <v>1</v>
      </c>
      <c r="J40" s="496">
        <v>0</v>
      </c>
      <c r="K40" s="496"/>
      <c r="L40" s="496"/>
      <c r="M40" s="513"/>
      <c r="N40" s="513"/>
      <c r="O40" s="495">
        <v>385000</v>
      </c>
      <c r="P40" s="513"/>
      <c r="Q40" s="497" t="s">
        <v>120</v>
      </c>
      <c r="R40" s="492">
        <v>0</v>
      </c>
      <c r="S40" s="497">
        <v>15</v>
      </c>
      <c r="T40" s="513"/>
      <c r="U40" s="626"/>
      <c r="V40" s="493">
        <f t="shared" si="14"/>
        <v>443000</v>
      </c>
      <c r="W40" s="519">
        <f>V40*(1+Assumptions!$B$19)^1</f>
        <v>454074.99999999994</v>
      </c>
      <c r="X40" s="519">
        <f>W40*(1+Assumptions!$B$19)^1</f>
        <v>465426.87499999988</v>
      </c>
      <c r="Y40" s="515" t="s">
        <v>76</v>
      </c>
      <c r="Z40" s="515"/>
      <c r="AA40" s="515"/>
      <c r="AB40" s="515"/>
      <c r="AC40" s="515"/>
      <c r="AD40" s="513"/>
      <c r="AE40" s="513"/>
      <c r="AF40" s="493">
        <f t="shared" si="7"/>
        <v>465426.87499999988</v>
      </c>
      <c r="AG40" s="494"/>
      <c r="AH40" s="494"/>
      <c r="AI40" s="494">
        <f t="shared" si="13"/>
        <v>465426.87499999988</v>
      </c>
      <c r="AJ40" s="494">
        <f t="shared" si="9"/>
        <v>0</v>
      </c>
      <c r="AK40" s="542" t="s">
        <v>77</v>
      </c>
      <c r="AL40" s="492">
        <v>810</v>
      </c>
      <c r="AM40" s="543">
        <f>AL40*('Oversize Costs'!$D$9-'Oversize Costs'!$D$8)</f>
        <v>43740</v>
      </c>
      <c r="AN40" s="731"/>
      <c r="AO40"/>
    </row>
    <row r="41" spans="1:41" ht="14.4">
      <c r="A41" s="733"/>
      <c r="B41" s="541">
        <v>54</v>
      </c>
      <c r="C41" s="518" t="s">
        <v>321</v>
      </c>
      <c r="D41" s="512"/>
      <c r="E41" s="511" t="s">
        <v>272</v>
      </c>
      <c r="F41" s="511" t="s">
        <v>95</v>
      </c>
      <c r="G41" s="511">
        <v>2028</v>
      </c>
      <c r="H41" s="511">
        <v>2029</v>
      </c>
      <c r="I41" s="496">
        <v>1</v>
      </c>
      <c r="J41" s="496">
        <v>0</v>
      </c>
      <c r="K41" s="496"/>
      <c r="L41" s="496"/>
      <c r="M41" s="513"/>
      <c r="N41" s="513"/>
      <c r="O41" s="495">
        <v>195000</v>
      </c>
      <c r="P41" s="513"/>
      <c r="Q41" s="497" t="s">
        <v>120</v>
      </c>
      <c r="R41" s="492">
        <v>0</v>
      </c>
      <c r="S41" s="497">
        <v>15</v>
      </c>
      <c r="T41" s="513"/>
      <c r="U41" s="626"/>
      <c r="V41" s="493">
        <f t="shared" si="14"/>
        <v>224000</v>
      </c>
      <c r="W41" s="519">
        <f>V41*(1+Assumptions!$B$19)^1</f>
        <v>229599.99999999997</v>
      </c>
      <c r="X41" s="519">
        <f>W41*(1+Assumptions!$B$19)^1</f>
        <v>235339.99999999994</v>
      </c>
      <c r="Y41" s="515" t="s">
        <v>76</v>
      </c>
      <c r="Z41" s="515"/>
      <c r="AA41" s="515"/>
      <c r="AB41" s="515"/>
      <c r="AC41" s="515"/>
      <c r="AD41" s="513"/>
      <c r="AE41" s="513"/>
      <c r="AF41" s="493">
        <f t="shared" si="7"/>
        <v>235339.99999999994</v>
      </c>
      <c r="AG41" s="494"/>
      <c r="AH41" s="494"/>
      <c r="AI41" s="494">
        <f t="shared" si="13"/>
        <v>235339.99999999994</v>
      </c>
      <c r="AJ41" s="494">
        <f t="shared" si="9"/>
        <v>0</v>
      </c>
      <c r="AK41" s="542" t="s">
        <v>77</v>
      </c>
      <c r="AL41" s="492">
        <v>411</v>
      </c>
      <c r="AM41" s="543">
        <f>AL41*('Oversize Costs'!$D$9-'Oversize Costs'!$D$8)</f>
        <v>22194</v>
      </c>
      <c r="AN41" s="731"/>
      <c r="AO41"/>
    </row>
    <row r="42" spans="1:41" ht="14.4">
      <c r="A42" s="733"/>
      <c r="B42" s="541">
        <v>57</v>
      </c>
      <c r="C42" s="518" t="s">
        <v>321</v>
      </c>
      <c r="D42" s="512"/>
      <c r="E42" s="511" t="s">
        <v>272</v>
      </c>
      <c r="F42" s="511" t="s">
        <v>95</v>
      </c>
      <c r="G42" s="511">
        <v>2028</v>
      </c>
      <c r="H42" s="511">
        <v>2029</v>
      </c>
      <c r="I42" s="496">
        <v>1</v>
      </c>
      <c r="J42" s="496">
        <v>0</v>
      </c>
      <c r="K42" s="496"/>
      <c r="L42" s="496"/>
      <c r="M42" s="513"/>
      <c r="N42" s="513"/>
      <c r="O42" s="495">
        <v>249000</v>
      </c>
      <c r="P42" s="513"/>
      <c r="Q42" s="497" t="s">
        <v>120</v>
      </c>
      <c r="R42" s="492">
        <v>0</v>
      </c>
      <c r="S42" s="497">
        <v>15</v>
      </c>
      <c r="T42" s="513"/>
      <c r="U42" s="626"/>
      <c r="V42" s="493">
        <f>MROUND((O42+(O42*(R42/100))+(O42*(S42/100))),1000)</f>
        <v>286000</v>
      </c>
      <c r="W42" s="519">
        <f>V42*(1+Assumptions!$B$19)^1</f>
        <v>293150</v>
      </c>
      <c r="X42" s="519">
        <f>W42*(1+Assumptions!$B$19)^1</f>
        <v>300478.75</v>
      </c>
      <c r="Y42" s="515" t="s">
        <v>76</v>
      </c>
      <c r="Z42" s="515"/>
      <c r="AA42" s="515"/>
      <c r="AB42" s="515"/>
      <c r="AC42" s="515"/>
      <c r="AD42" s="513"/>
      <c r="AE42" s="513"/>
      <c r="AF42" s="493">
        <f t="shared" si="7"/>
        <v>300478.75</v>
      </c>
      <c r="AG42" s="494"/>
      <c r="AH42" s="494"/>
      <c r="AI42" s="494">
        <f t="shared" si="13"/>
        <v>300478.75</v>
      </c>
      <c r="AJ42" s="494">
        <f t="shared" si="9"/>
        <v>0</v>
      </c>
      <c r="AK42" s="542" t="s">
        <v>77</v>
      </c>
      <c r="AL42" s="492">
        <v>525</v>
      </c>
      <c r="AM42" s="543">
        <f>AL42*('Oversize Costs'!$D$9-'Oversize Costs'!$D$8)</f>
        <v>28350</v>
      </c>
      <c r="AN42" s="731"/>
      <c r="AO42"/>
    </row>
    <row r="43" spans="1:41" ht="15" thickBot="1">
      <c r="A43" s="734"/>
      <c r="B43" s="546">
        <v>64</v>
      </c>
      <c r="C43" s="522" t="s">
        <v>321</v>
      </c>
      <c r="D43" s="521"/>
      <c r="E43" s="520" t="s">
        <v>272</v>
      </c>
      <c r="F43" s="520" t="s">
        <v>95</v>
      </c>
      <c r="G43" s="520">
        <v>2034</v>
      </c>
      <c r="H43" s="520">
        <v>2035</v>
      </c>
      <c r="I43" s="523">
        <v>1</v>
      </c>
      <c r="J43" s="523">
        <v>0</v>
      </c>
      <c r="K43" s="523"/>
      <c r="L43" s="523"/>
      <c r="M43" s="525"/>
      <c r="N43" s="525"/>
      <c r="O43" s="529">
        <v>423000</v>
      </c>
      <c r="P43" s="525"/>
      <c r="Q43" s="526" t="s">
        <v>120</v>
      </c>
      <c r="R43" s="527">
        <v>0</v>
      </c>
      <c r="S43" s="526">
        <v>15</v>
      </c>
      <c r="T43" s="525"/>
      <c r="U43" s="627"/>
      <c r="V43" s="524">
        <f>MROUND((O43+(O43*(R43/100))+(O43*(S43/100))),1000)</f>
        <v>486000</v>
      </c>
      <c r="W43" s="531">
        <f>V43*(1+Assumptions!$B$19)^1</f>
        <v>498149.99999999994</v>
      </c>
      <c r="X43" s="531">
        <f>W43*(1+Assumptions!$B$19)^1</f>
        <v>510603.74999999988</v>
      </c>
      <c r="Y43" s="530" t="s">
        <v>76</v>
      </c>
      <c r="Z43" s="530"/>
      <c r="AA43" s="530"/>
      <c r="AB43" s="530"/>
      <c r="AC43" s="530"/>
      <c r="AD43" s="525"/>
      <c r="AE43" s="525"/>
      <c r="AF43" s="524">
        <f t="shared" si="7"/>
        <v>510603.74999999988</v>
      </c>
      <c r="AG43" s="532"/>
      <c r="AH43" s="532"/>
      <c r="AI43" s="532">
        <f t="shared" si="13"/>
        <v>510603.74999999988</v>
      </c>
      <c r="AJ43" s="532">
        <f t="shared" si="9"/>
        <v>0</v>
      </c>
      <c r="AK43" s="547" t="s">
        <v>77</v>
      </c>
      <c r="AL43" s="527">
        <v>891</v>
      </c>
      <c r="AM43" s="548">
        <f>AL43*('Oversize Costs'!$D$9-'Oversize Costs'!$D$8)</f>
        <v>48114</v>
      </c>
      <c r="AN43" s="731"/>
      <c r="AO43"/>
    </row>
    <row r="44" spans="1:41" ht="14.4">
      <c r="F44"/>
      <c r="G44"/>
      <c r="H44"/>
      <c r="I44"/>
      <c r="J44"/>
      <c r="K44"/>
      <c r="L44"/>
      <c r="M44"/>
      <c r="N44"/>
      <c r="O44"/>
      <c r="P44"/>
      <c r="Q44"/>
      <c r="R44"/>
      <c r="S44"/>
      <c r="T44"/>
      <c r="U44"/>
      <c r="V44"/>
      <c r="W44"/>
      <c r="X44" s="658">
        <f>SUM(X22:X43)</f>
        <v>16164916.25</v>
      </c>
      <c r="Y44"/>
      <c r="Z44"/>
      <c r="AA44"/>
      <c r="AB44"/>
      <c r="AC44"/>
      <c r="AD44"/>
      <c r="AE44"/>
      <c r="AF44"/>
      <c r="AG44"/>
      <c r="AH44"/>
      <c r="AI44"/>
      <c r="AJ44"/>
      <c r="AK44"/>
      <c r="AL44"/>
      <c r="AM44" s="658">
        <f>SUM(AM22:AM43)</f>
        <v>8901821</v>
      </c>
      <c r="AN44"/>
      <c r="AO44"/>
    </row>
    <row r="45" spans="1:41" ht="14.4">
      <c r="A45" s="150"/>
      <c r="F45"/>
      <c r="G45"/>
      <c r="H45"/>
      <c r="I45"/>
      <c r="J45"/>
      <c r="K45"/>
      <c r="L45"/>
      <c r="M45"/>
      <c r="N45"/>
      <c r="O45"/>
      <c r="P45"/>
      <c r="Q45"/>
      <c r="R45"/>
      <c r="S45"/>
      <c r="T45"/>
      <c r="U45"/>
      <c r="V45"/>
      <c r="W45"/>
      <c r="X45"/>
      <c r="Y45"/>
      <c r="Z45"/>
      <c r="AA45"/>
      <c r="AB45"/>
      <c r="AC45"/>
      <c r="AD45"/>
      <c r="AE45"/>
      <c r="AF45"/>
      <c r="AG45"/>
      <c r="AH45"/>
      <c r="AI45"/>
      <c r="AJ45"/>
      <c r="AK45"/>
      <c r="AL45"/>
      <c r="AM45"/>
      <c r="AN45"/>
    </row>
    <row r="46" spans="1:41" ht="16.2">
      <c r="E46" s="628"/>
      <c r="F46" s="628"/>
      <c r="G46" s="628"/>
      <c r="H46" s="628"/>
      <c r="I46" s="628"/>
      <c r="J46" s="628"/>
      <c r="K46" s="628"/>
      <c r="L46" s="628"/>
      <c r="M46" s="628"/>
      <c r="N46" s="628"/>
      <c r="R46"/>
      <c r="S46"/>
      <c r="T46"/>
      <c r="U46"/>
      <c r="V46"/>
      <c r="W46"/>
      <c r="X46"/>
      <c r="Y46"/>
      <c r="Z46"/>
      <c r="AA46"/>
      <c r="AB46"/>
      <c r="AC46"/>
      <c r="AD46"/>
      <c r="AE46"/>
      <c r="AF46"/>
      <c r="AG46"/>
      <c r="AH46"/>
      <c r="AI46"/>
      <c r="AJ46"/>
      <c r="AK46"/>
      <c r="AL46"/>
      <c r="AM46"/>
      <c r="AN46"/>
    </row>
    <row r="47" spans="1:41" ht="14.4">
      <c r="F47"/>
      <c r="G47"/>
      <c r="H47"/>
      <c r="I47"/>
      <c r="J47"/>
      <c r="K47"/>
      <c r="L47"/>
      <c r="M47"/>
      <c r="N47"/>
      <c r="O47"/>
      <c r="P47"/>
      <c r="Q47"/>
      <c r="R47"/>
      <c r="S47"/>
      <c r="T47"/>
      <c r="U47"/>
      <c r="V47"/>
      <c r="W47"/>
      <c r="X47"/>
      <c r="Y47"/>
      <c r="Z47"/>
      <c r="AA47"/>
      <c r="AB47"/>
      <c r="AC47"/>
      <c r="AD47"/>
      <c r="AE47"/>
      <c r="AF47"/>
      <c r="AG47"/>
      <c r="AH47"/>
      <c r="AI47"/>
      <c r="AJ47"/>
      <c r="AK47"/>
      <c r="AL47"/>
      <c r="AM47"/>
      <c r="AN47"/>
    </row>
    <row r="48" spans="1:41" ht="14.4">
      <c r="F48"/>
      <c r="G48"/>
      <c r="H48"/>
      <c r="I48"/>
      <c r="J48"/>
      <c r="K48"/>
      <c r="L48"/>
      <c r="M48"/>
      <c r="N48"/>
      <c r="O48"/>
      <c r="P48"/>
      <c r="Q48"/>
      <c r="R48"/>
      <c r="S48"/>
      <c r="T48"/>
      <c r="U48"/>
      <c r="V48"/>
      <c r="W48"/>
      <c r="X48"/>
      <c r="Y48"/>
      <c r="Z48"/>
      <c r="AA48"/>
      <c r="AB48"/>
      <c r="AC48"/>
      <c r="AD48"/>
      <c r="AE48"/>
      <c r="AF48"/>
      <c r="AG48"/>
      <c r="AH48"/>
      <c r="AI48"/>
      <c r="AJ48"/>
      <c r="AK48"/>
      <c r="AL48"/>
      <c r="AM48"/>
      <c r="AN48"/>
    </row>
    <row r="49" spans="11:23">
      <c r="O49" s="157"/>
    </row>
    <row r="51" spans="11:23" ht="14.4">
      <c r="K51" s="32"/>
      <c r="W51" s="70"/>
    </row>
    <row r="52" spans="11:23" ht="14.4">
      <c r="K52" s="32"/>
    </row>
    <row r="53" spans="11:23" ht="14.4">
      <c r="K53" s="32"/>
    </row>
    <row r="54" spans="11:23" ht="14.4">
      <c r="K54" s="32"/>
    </row>
    <row r="55" spans="11:23" ht="14.4">
      <c r="K55" s="32"/>
    </row>
    <row r="56" spans="11:23" ht="14.4">
      <c r="K56" s="32"/>
    </row>
    <row r="57" spans="11:23" ht="14.4">
      <c r="K57" s="32"/>
    </row>
    <row r="58" spans="11:23" ht="14.4">
      <c r="K58" s="32"/>
    </row>
    <row r="59" spans="11:23" ht="14.4">
      <c r="K59" s="32"/>
    </row>
    <row r="60" spans="11:23" ht="14.4">
      <c r="K60" s="32"/>
    </row>
    <row r="61" spans="11:23" ht="14.4">
      <c r="K61" s="32"/>
    </row>
    <row r="62" spans="11:23" ht="14.4">
      <c r="K62" s="32"/>
    </row>
    <row r="63" spans="11:23" ht="14.4">
      <c r="K63" s="32"/>
    </row>
    <row r="64" spans="11:23" ht="14.4">
      <c r="K64" s="32"/>
    </row>
    <row r="65" spans="11:11" ht="14.4">
      <c r="K65" s="32"/>
    </row>
    <row r="66" spans="11:11" ht="14.4">
      <c r="K66" s="32"/>
    </row>
    <row r="67" spans="11:11" ht="14.4">
      <c r="K67" s="32"/>
    </row>
    <row r="68" spans="11:11" ht="14.4">
      <c r="K68" s="32"/>
    </row>
    <row r="69" spans="11:11" ht="14.4">
      <c r="K69" s="32"/>
    </row>
    <row r="70" spans="11:11" ht="14.4">
      <c r="K70" s="32"/>
    </row>
    <row r="71" spans="11:11" ht="14.4">
      <c r="K71" s="32"/>
    </row>
    <row r="72" spans="11:11" ht="14.4">
      <c r="K72" s="32"/>
    </row>
    <row r="73" spans="11:11" ht="14.4">
      <c r="K73" s="32"/>
    </row>
    <row r="74" spans="11:11" ht="14.4">
      <c r="K74" s="32"/>
    </row>
    <row r="75" spans="11:11" ht="14.4">
      <c r="K75" s="32"/>
    </row>
    <row r="76" spans="11:11" ht="14.4">
      <c r="K76" s="32"/>
    </row>
    <row r="77" spans="11:11" ht="14.4">
      <c r="K77" s="32"/>
    </row>
    <row r="78" spans="11:11" ht="14.4">
      <c r="K78" s="32"/>
    </row>
    <row r="79" spans="11:11" ht="14.4">
      <c r="K79" s="32"/>
    </row>
    <row r="80" spans="11:11" ht="14.4">
      <c r="K80" s="32"/>
    </row>
    <row r="81" spans="11:11" ht="14.4">
      <c r="K81" s="32"/>
    </row>
    <row r="82" spans="11:11" ht="14.4">
      <c r="K82" s="32"/>
    </row>
    <row r="83" spans="11:11" ht="14.4">
      <c r="K83" s="32"/>
    </row>
    <row r="84" spans="11:11">
      <c r="K84" s="700"/>
    </row>
    <row r="85" spans="11:11" ht="14.4">
      <c r="K85" s="698"/>
    </row>
    <row r="86" spans="11:11" ht="14.4">
      <c r="K86" s="698"/>
    </row>
    <row r="87" spans="11:11" ht="14.4">
      <c r="K87" s="698"/>
    </row>
    <row r="88" spans="11:11" ht="14.4">
      <c r="K88" s="698"/>
    </row>
    <row r="89" spans="11:11" ht="14.4">
      <c r="K89" s="698"/>
    </row>
    <row r="90" spans="11:11" ht="14.4">
      <c r="K90" s="698"/>
    </row>
    <row r="91" spans="11:11" ht="14.4">
      <c r="K91" s="698"/>
    </row>
    <row r="92" spans="11:11" ht="14.4">
      <c r="K92" s="698"/>
    </row>
    <row r="93" spans="11:11" ht="14.4">
      <c r="K93" s="698"/>
    </row>
    <row r="94" spans="11:11" ht="16.8">
      <c r="K94" s="699"/>
    </row>
  </sheetData>
  <mergeCells count="16">
    <mergeCell ref="AN12:AN19"/>
    <mergeCell ref="AN22:AN43"/>
    <mergeCell ref="A22:A43"/>
    <mergeCell ref="B3:D3"/>
    <mergeCell ref="A6:A9"/>
    <mergeCell ref="A12:A19"/>
    <mergeCell ref="AL3:AM3"/>
    <mergeCell ref="E3:F3"/>
    <mergeCell ref="G3:H3"/>
    <mergeCell ref="I3:J3"/>
    <mergeCell ref="AI3:AJ3"/>
    <mergeCell ref="AG3:AH3"/>
    <mergeCell ref="K3:L3"/>
    <mergeCell ref="AB3:AF3"/>
    <mergeCell ref="M3:X3"/>
    <mergeCell ref="Y3:Z3"/>
  </mergeCells>
  <conditionalFormatting sqref="AK6:AK9">
    <cfRule type="cellIs" dxfId="3" priority="14" operator="equal">
      <formula>"""Yes"""</formula>
    </cfRule>
  </conditionalFormatting>
  <conditionalFormatting sqref="AK12:AK19">
    <cfRule type="cellIs" dxfId="2" priority="4" operator="equal">
      <formula>"""Yes"""</formula>
    </cfRule>
  </conditionalFormatting>
  <conditionalFormatting sqref="AK22:AK43">
    <cfRule type="cellIs" dxfId="1" priority="2" operator="equal">
      <formula>"""Yes"""</formula>
    </cfRule>
  </conditionalFormatting>
  <dataValidations count="2">
    <dataValidation type="list" allowBlank="1" showInputMessage="1" showErrorMessage="1" sqref="Q13:Q19 Q7:Q9 Q22:Q43" xr:uid="{AF6BF711-D49E-4E02-8553-8AE9B894D71F}">
      <formula1>"Conceptual, Preliminary Design, Detailed Design, Tendered"</formula1>
    </dataValidation>
    <dataValidation type="list" allowBlank="1" showInputMessage="1" showErrorMessage="1" sqref="AK6:AK9 AK12:AK19 AK22:AK43" xr:uid="{40CEBF79-C15E-4E70-BBE4-945A2A4B011A}">
      <formula1>"Yes,No"</formula1>
    </dataValidation>
  </dataValidations>
  <pageMargins left="0.25" right="0.25" top="0.75" bottom="0.75" header="0.3" footer="0.3"/>
  <pageSetup paperSize="4" scale="25"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368342-B354-4A41-A949-4FBEBD279151}">
  <sheetPr codeName="Sheet6"/>
  <dimension ref="A1:BD66"/>
  <sheetViews>
    <sheetView showGridLines="0" zoomScale="70" zoomScaleNormal="70" workbookViewId="0">
      <selection activeCell="B26" sqref="B26"/>
    </sheetView>
  </sheetViews>
  <sheetFormatPr defaultColWidth="8.88671875" defaultRowHeight="16.8"/>
  <cols>
    <col min="1" max="1" width="52" style="394" customWidth="1"/>
    <col min="2" max="2" width="19.109375" style="394" bestFit="1" customWidth="1"/>
    <col min="3" max="3" width="13" style="394" customWidth="1"/>
    <col min="4" max="4" width="27.109375" style="394" customWidth="1"/>
    <col min="5" max="5" width="28.6640625" style="394" customWidth="1"/>
    <col min="6" max="7" width="30.21875" style="394" customWidth="1"/>
    <col min="8" max="8" width="28.6640625" style="394" customWidth="1"/>
    <col min="9" max="9" width="28.5546875" style="394" customWidth="1"/>
    <col min="10" max="10" width="12.5546875" style="394" customWidth="1"/>
    <col min="11" max="11" width="18.6640625" style="394" customWidth="1"/>
    <col min="12" max="12" width="16.5546875" style="394" bestFit="1" customWidth="1"/>
    <col min="13" max="13" width="19.109375" style="394" customWidth="1"/>
    <col min="14" max="14" width="17.21875" style="394" bestFit="1" customWidth="1"/>
    <col min="15" max="15" width="18.88671875" style="394" bestFit="1" customWidth="1"/>
    <col min="16" max="16" width="10.5546875" style="394" bestFit="1" customWidth="1"/>
    <col min="17" max="17" width="8.88671875" style="394"/>
    <col min="18" max="18" width="18.21875" style="394" customWidth="1"/>
    <col min="19" max="19" width="8.88671875" style="394"/>
    <col min="20" max="20" width="18.109375" style="394" bestFit="1" customWidth="1"/>
    <col min="21" max="21" width="12" style="394" customWidth="1"/>
    <col min="22" max="22" width="8.88671875" style="394"/>
    <col min="23" max="23" width="17.6640625" style="394" bestFit="1" customWidth="1"/>
    <col min="24" max="24" width="8.88671875" style="394"/>
    <col min="25" max="25" width="14.44140625" style="394" bestFit="1" customWidth="1"/>
    <col min="26" max="26" width="17.5546875" style="394" customWidth="1"/>
    <col min="27" max="27" width="16" style="394" customWidth="1"/>
    <col min="28" max="28" width="14.109375" style="394" customWidth="1"/>
    <col min="29" max="29" width="15.88671875" style="394" customWidth="1"/>
    <col min="30" max="30" width="13.6640625" style="394" customWidth="1"/>
    <col min="31" max="43" width="8.88671875" style="394"/>
    <col min="44" max="44" width="18.6640625" style="394" customWidth="1"/>
    <col min="45" max="45" width="18.21875" style="394" bestFit="1" customWidth="1"/>
    <col min="46" max="46" width="19" style="394" customWidth="1"/>
    <col min="47" max="47" width="18.21875" style="394" bestFit="1" customWidth="1"/>
    <col min="48" max="48" width="21.6640625" style="394" customWidth="1"/>
    <col min="49" max="49" width="18.21875" style="394" bestFit="1" customWidth="1"/>
    <col min="50" max="50" width="39.21875" style="394" customWidth="1"/>
    <col min="51" max="51" width="13.44140625" style="394" bestFit="1" customWidth="1"/>
    <col min="52" max="53" width="8.88671875" style="394"/>
    <col min="54" max="54" width="22.5546875" style="394" customWidth="1"/>
    <col min="55" max="55" width="18.6640625" style="394" customWidth="1"/>
    <col min="56" max="56" width="14.109375" style="394" customWidth="1"/>
    <col min="57" max="16384" width="8.88671875" style="394"/>
  </cols>
  <sheetData>
    <row r="1" spans="1:52">
      <c r="A1" s="437"/>
    </row>
    <row r="2" spans="1:52" ht="30.6">
      <c r="A2" s="438" t="s">
        <v>117</v>
      </c>
      <c r="B2" s="439"/>
      <c r="C2" s="439"/>
      <c r="D2" s="439"/>
      <c r="E2" s="439"/>
      <c r="F2" s="439"/>
      <c r="G2" s="439"/>
      <c r="H2" s="439"/>
      <c r="I2" s="439"/>
      <c r="J2" s="439"/>
      <c r="K2" s="439"/>
      <c r="L2" s="439"/>
      <c r="M2" s="439"/>
      <c r="N2" s="439"/>
      <c r="O2" s="439"/>
      <c r="P2" s="439"/>
      <c r="Q2" s="439"/>
      <c r="R2" s="439"/>
      <c r="S2" s="439"/>
      <c r="T2" s="439"/>
      <c r="U2" s="439"/>
      <c r="V2" s="439"/>
      <c r="W2" s="439"/>
      <c r="X2" s="439"/>
      <c r="Y2" s="439"/>
      <c r="Z2" s="439"/>
      <c r="AA2" s="439"/>
      <c r="AB2" s="439"/>
      <c r="AC2" s="439"/>
      <c r="AD2" s="439"/>
      <c r="AE2" s="439"/>
      <c r="AF2" s="439"/>
      <c r="AG2" s="439"/>
      <c r="AH2" s="439"/>
      <c r="AI2" s="439"/>
      <c r="AJ2" s="439"/>
      <c r="AK2" s="439"/>
      <c r="AL2" s="439"/>
      <c r="AM2" s="439"/>
      <c r="AN2" s="439"/>
      <c r="AO2" s="439"/>
      <c r="AP2" s="439"/>
      <c r="AQ2" s="439"/>
      <c r="AR2" s="439"/>
      <c r="AS2" s="439"/>
      <c r="AT2" s="439"/>
      <c r="AU2" s="439"/>
      <c r="AV2" s="439"/>
      <c r="AW2" s="439"/>
      <c r="AX2" s="439"/>
      <c r="AY2" s="439"/>
      <c r="AZ2" s="439"/>
    </row>
    <row r="3" spans="1:52" ht="30.6">
      <c r="A3" s="440"/>
      <c r="B3" s="441"/>
      <c r="C3" s="441"/>
      <c r="D3" s="441"/>
      <c r="E3" s="441"/>
      <c r="F3" s="441"/>
      <c r="G3" s="441"/>
      <c r="H3" s="441"/>
      <c r="I3" s="441"/>
      <c r="J3" s="441"/>
      <c r="K3" s="441"/>
      <c r="L3" s="441"/>
      <c r="M3" s="441"/>
      <c r="N3" s="441"/>
      <c r="O3" s="441"/>
      <c r="P3" s="441"/>
      <c r="Q3" s="441"/>
      <c r="R3" s="441"/>
      <c r="S3" s="441"/>
      <c r="T3" s="441"/>
      <c r="U3" s="441"/>
      <c r="V3" s="441"/>
      <c r="W3" s="441"/>
      <c r="X3" s="441"/>
      <c r="Y3" s="441"/>
      <c r="Z3" s="441"/>
      <c r="AA3" s="441"/>
      <c r="AB3" s="441"/>
      <c r="AC3" s="441"/>
      <c r="AD3" s="441"/>
      <c r="AE3" s="441"/>
      <c r="AF3" s="441"/>
      <c r="AG3" s="441"/>
      <c r="AH3" s="441"/>
      <c r="AI3" s="441"/>
      <c r="AJ3" s="441"/>
      <c r="AK3" s="441"/>
      <c r="AL3" s="441"/>
      <c r="AM3" s="441"/>
      <c r="AN3" s="441"/>
      <c r="AO3" s="441"/>
      <c r="AP3" s="441"/>
      <c r="AQ3" s="441"/>
      <c r="AR3" s="441"/>
      <c r="AS3" s="441"/>
      <c r="AT3" s="441"/>
      <c r="AU3" s="441"/>
      <c r="AV3" s="441"/>
      <c r="AW3" s="441"/>
      <c r="AX3" s="441"/>
      <c r="AY3" s="441"/>
      <c r="AZ3" s="441"/>
    </row>
    <row r="4" spans="1:52">
      <c r="K4" s="393" t="s">
        <v>262</v>
      </c>
      <c r="V4" s="393" t="s">
        <v>263</v>
      </c>
    </row>
    <row r="5" spans="1:52" ht="16.95" customHeight="1">
      <c r="A5" s="581" t="s">
        <v>277</v>
      </c>
      <c r="B5" s="442">
        <v>1</v>
      </c>
      <c r="D5" s="584" t="s">
        <v>195</v>
      </c>
      <c r="E5" s="585"/>
      <c r="F5" s="585"/>
      <c r="G5" s="585"/>
      <c r="H5" s="585"/>
      <c r="I5" s="586"/>
      <c r="K5" s="754" t="s">
        <v>157</v>
      </c>
      <c r="L5" s="755"/>
      <c r="M5" s="755"/>
      <c r="N5" s="755"/>
      <c r="O5" s="755"/>
      <c r="P5" s="755"/>
      <c r="Q5" s="755"/>
      <c r="R5" s="755"/>
      <c r="S5" s="755"/>
      <c r="T5" s="756"/>
      <c r="V5" s="754" t="s">
        <v>157</v>
      </c>
      <c r="W5" s="755"/>
      <c r="X5" s="755"/>
      <c r="Y5" s="755"/>
      <c r="Z5" s="755"/>
      <c r="AA5" s="755"/>
      <c r="AB5" s="755"/>
      <c r="AC5" s="755"/>
      <c r="AD5" s="755"/>
      <c r="AE5" s="756"/>
    </row>
    <row r="6" spans="1:52" ht="14.55" customHeight="1">
      <c r="D6" s="587"/>
      <c r="E6" s="588"/>
      <c r="F6" s="588"/>
      <c r="G6" s="588"/>
      <c r="H6" s="588"/>
      <c r="I6" s="589"/>
      <c r="K6" s="757" t="s">
        <v>169</v>
      </c>
      <c r="L6" s="758"/>
      <c r="M6" s="758"/>
      <c r="N6" s="758"/>
      <c r="O6" s="758"/>
      <c r="P6" s="758"/>
      <c r="Q6" s="758"/>
      <c r="R6" s="758"/>
      <c r="S6" s="758"/>
      <c r="T6" s="759"/>
      <c r="V6" s="757" t="s">
        <v>158</v>
      </c>
      <c r="W6" s="758"/>
      <c r="X6" s="758"/>
      <c r="Y6" s="758"/>
      <c r="Z6" s="758"/>
      <c r="AA6" s="758"/>
      <c r="AB6" s="758"/>
      <c r="AC6" s="758"/>
      <c r="AD6" s="758"/>
      <c r="AE6" s="759"/>
    </row>
    <row r="7" spans="1:52">
      <c r="A7" s="443" t="s">
        <v>259</v>
      </c>
      <c r="B7" s="397"/>
      <c r="C7" s="444"/>
      <c r="D7" s="680"/>
      <c r="E7" s="681"/>
      <c r="F7" s="681"/>
      <c r="G7" s="681"/>
      <c r="H7" s="681"/>
      <c r="I7" s="682"/>
      <c r="K7" s="445"/>
      <c r="L7" s="447"/>
      <c r="M7" s="447"/>
      <c r="N7" s="447"/>
      <c r="O7" s="447"/>
      <c r="P7" s="447"/>
      <c r="Q7" s="447"/>
      <c r="R7" s="447"/>
      <c r="S7" s="447"/>
      <c r="T7" s="446"/>
      <c r="V7" s="445"/>
      <c r="W7" s="447"/>
      <c r="X7" s="447"/>
      <c r="Y7" s="447"/>
      <c r="Z7" s="447"/>
      <c r="AA7" s="447"/>
      <c r="AB7" s="447"/>
      <c r="AC7" s="447"/>
      <c r="AD7" s="447"/>
      <c r="AE7" s="446"/>
    </row>
    <row r="8" spans="1:52" ht="14.55" customHeight="1">
      <c r="A8" s="582" t="s">
        <v>189</v>
      </c>
      <c r="B8" s="583"/>
      <c r="C8" s="448"/>
      <c r="D8" s="683" t="s">
        <v>9</v>
      </c>
      <c r="E8" s="684" t="s">
        <v>196</v>
      </c>
      <c r="F8" s="684" t="s">
        <v>218</v>
      </c>
      <c r="G8" s="684" t="s">
        <v>219</v>
      </c>
      <c r="H8" s="684" t="s">
        <v>208</v>
      </c>
      <c r="I8" s="685" t="s">
        <v>197</v>
      </c>
      <c r="K8" s="761" t="s">
        <v>159</v>
      </c>
      <c r="L8" s="760"/>
      <c r="M8" s="760" t="s">
        <v>160</v>
      </c>
      <c r="N8" s="760"/>
      <c r="O8" s="760" t="s">
        <v>161</v>
      </c>
      <c r="P8" s="760"/>
      <c r="Q8" s="760" t="s">
        <v>170</v>
      </c>
      <c r="R8" s="760"/>
      <c r="S8" s="760" t="s">
        <v>260</v>
      </c>
      <c r="T8" s="762"/>
      <c r="V8" s="761" t="s">
        <v>159</v>
      </c>
      <c r="W8" s="760"/>
      <c r="X8" s="760" t="s">
        <v>160</v>
      </c>
      <c r="Y8" s="760"/>
      <c r="Z8" s="760" t="s">
        <v>161</v>
      </c>
      <c r="AA8" s="760"/>
      <c r="AB8" s="760" t="s">
        <v>162</v>
      </c>
      <c r="AC8" s="760"/>
      <c r="AD8" s="760" t="s">
        <v>261</v>
      </c>
      <c r="AE8" s="762"/>
    </row>
    <row r="9" spans="1:52" ht="15" customHeight="1">
      <c r="A9" s="449" t="s">
        <v>190</v>
      </c>
      <c r="B9" s="450">
        <v>11000000</v>
      </c>
      <c r="C9" s="402"/>
      <c r="D9" s="398"/>
      <c r="E9" s="399"/>
      <c r="F9" s="399"/>
      <c r="G9" s="399"/>
      <c r="H9" s="399"/>
      <c r="I9" s="400"/>
      <c r="K9" s="451"/>
      <c r="L9" s="452"/>
      <c r="M9" s="452"/>
      <c r="N9" s="452"/>
      <c r="O9" s="452"/>
      <c r="P9" s="452"/>
      <c r="Q9" s="452"/>
      <c r="R9" s="452"/>
      <c r="S9" s="452"/>
      <c r="T9" s="400"/>
      <c r="V9" s="398"/>
      <c r="W9" s="453"/>
      <c r="X9" s="453"/>
      <c r="Y9" s="453"/>
      <c r="Z9" s="453"/>
      <c r="AA9" s="453"/>
      <c r="AB9" s="453"/>
      <c r="AC9" s="453"/>
      <c r="AD9" s="453"/>
      <c r="AE9" s="454"/>
    </row>
    <row r="10" spans="1:52">
      <c r="A10" s="449" t="s">
        <v>192</v>
      </c>
      <c r="B10" s="455">
        <v>2.4199999999999999E-2</v>
      </c>
      <c r="C10" s="402"/>
      <c r="D10" s="398"/>
      <c r="E10" s="456"/>
      <c r="F10" s="456"/>
      <c r="G10" s="456"/>
      <c r="H10" s="456"/>
      <c r="I10" s="400"/>
      <c r="K10" s="451"/>
      <c r="L10" s="452"/>
      <c r="M10" s="452"/>
      <c r="N10" s="452"/>
      <c r="O10" s="452"/>
      <c r="P10" s="452"/>
      <c r="Q10" s="452"/>
      <c r="R10" s="452"/>
      <c r="S10" s="452"/>
      <c r="T10" s="454"/>
      <c r="V10" s="398"/>
      <c r="W10" s="453"/>
      <c r="X10" s="452"/>
      <c r="Y10" s="452"/>
      <c r="Z10" s="452"/>
      <c r="AA10" s="452"/>
      <c r="AB10" s="452"/>
      <c r="AC10" s="452"/>
      <c r="AD10" s="453"/>
      <c r="AE10" s="454"/>
    </row>
    <row r="11" spans="1:52">
      <c r="A11" s="449" t="s">
        <v>193</v>
      </c>
      <c r="B11" s="457">
        <v>25</v>
      </c>
      <c r="D11" s="458" t="s">
        <v>9</v>
      </c>
      <c r="I11" s="454"/>
      <c r="K11" s="459" t="s">
        <v>9</v>
      </c>
      <c r="L11" s="460" t="s">
        <v>163</v>
      </c>
      <c r="M11" s="747" t="s">
        <v>164</v>
      </c>
      <c r="N11" s="747"/>
      <c r="O11" s="747" t="s">
        <v>165</v>
      </c>
      <c r="P11" s="747"/>
      <c r="Q11" s="747" t="s">
        <v>166</v>
      </c>
      <c r="R11" s="747"/>
      <c r="S11" s="747" t="s">
        <v>167</v>
      </c>
      <c r="T11" s="748"/>
      <c r="V11" s="398"/>
      <c r="W11" s="460" t="s">
        <v>163</v>
      </c>
      <c r="X11" s="747" t="s">
        <v>164</v>
      </c>
      <c r="Y11" s="747"/>
      <c r="Z11" s="466" t="s">
        <v>165</v>
      </c>
      <c r="AA11" s="460"/>
      <c r="AB11" s="460" t="s">
        <v>166</v>
      </c>
      <c r="AC11" s="460"/>
      <c r="AD11" s="460" t="s">
        <v>167</v>
      </c>
      <c r="AE11" s="454"/>
    </row>
    <row r="12" spans="1:52">
      <c r="A12" s="449" t="s">
        <v>191</v>
      </c>
      <c r="B12" s="457" t="s">
        <v>201</v>
      </c>
      <c r="D12" s="461">
        <v>2020</v>
      </c>
      <c r="E12" s="462">
        <f>+SUMIF('Sanitary Debentures'!$V$12:$V$61,D12,'Sanitary Debentures'!$X$12:$Y$61)+SUMIF('Sanitary Debentures'!$K$12:$K$61,D12,'Sanitary Debentures'!$M$12:$N$61)</f>
        <v>589017.31999999995</v>
      </c>
      <c r="F12" s="462">
        <f>+SUMIF('Sanitary Debentures'!$V$12:$V$61,D12,$Z$12:$Z$61)+SUMIF('Sanitary Debentures'!$K$12:$K$61,D12,$O$12:$P$61)</f>
        <v>324770.36</v>
      </c>
      <c r="G12" s="462">
        <f>B9-F12</f>
        <v>10675229.640000001</v>
      </c>
      <c r="H12" s="462">
        <f>+SUMIF('Sanitary Debentures'!$V$12:$V$61,D12,$AB$12:$AB$61)+SUMIF('Sanitary Debentures'!$K$12:$K$61,D12,$Q$12:$R$61)</f>
        <v>264246.95999999996</v>
      </c>
      <c r="I12" s="463">
        <f t="shared" ref="I12:I38" si="0">H12*$B$5</f>
        <v>264246.95999999996</v>
      </c>
      <c r="J12" s="464"/>
      <c r="K12" s="465">
        <v>2020</v>
      </c>
      <c r="L12" s="466">
        <v>1</v>
      </c>
      <c r="M12" s="745">
        <v>294508.65999999997</v>
      </c>
      <c r="N12" s="745"/>
      <c r="O12" s="467">
        <v>161408.66</v>
      </c>
      <c r="P12" s="467"/>
      <c r="Q12" s="745">
        <v>133100</v>
      </c>
      <c r="R12" s="745"/>
      <c r="S12" s="745">
        <v>10838591.34</v>
      </c>
      <c r="T12" s="749"/>
      <c r="U12" s="464"/>
      <c r="V12" s="461">
        <v>2022</v>
      </c>
      <c r="W12" s="466">
        <v>1</v>
      </c>
      <c r="X12" s="745">
        <v>188738.13</v>
      </c>
      <c r="Y12" s="745"/>
      <c r="Z12" s="750">
        <v>101868.13</v>
      </c>
      <c r="AA12" s="750"/>
      <c r="AB12" s="745">
        <v>86870</v>
      </c>
      <c r="AC12" s="745"/>
      <c r="AD12" s="745">
        <v>6898131.8700000001</v>
      </c>
      <c r="AE12" s="749"/>
    </row>
    <row r="13" spans="1:52">
      <c r="A13" s="398"/>
      <c r="B13" s="400"/>
      <c r="C13" s="444"/>
      <c r="D13" s="461">
        <v>2021</v>
      </c>
      <c r="E13" s="462">
        <f>+SUMIF('Sanitary Debentures'!$V$12:$V$61,D13,'Sanitary Debentures'!$X$12:$Y$61)+SUMIF('Sanitary Debentures'!$K$12:$K$61,D13,'Sanitary Debentures'!$M$12:$N$61)</f>
        <v>589017.31999999995</v>
      </c>
      <c r="F13" s="462">
        <f>+SUMIF('Sanitary Debentures'!$V$12:$V$61,D13,$Z$12:$Z$61)+SUMIF('Sanitary Debentures'!$K$12:$K$61,D13,$O$12:$P$61)</f>
        <v>332677.36</v>
      </c>
      <c r="G13" s="462">
        <f>G12-F13</f>
        <v>10342552.280000001</v>
      </c>
      <c r="H13" s="462">
        <f>+SUMIF('Sanitary Debentures'!$V$12:$V$61,D13,$AB$12:$AB$61)+SUMIF('Sanitary Debentures'!$K$12:$K$61,D13,$Q$12:$R$61)</f>
        <v>256339.96</v>
      </c>
      <c r="I13" s="463">
        <f t="shared" si="0"/>
        <v>256339.96</v>
      </c>
      <c r="J13" s="464"/>
      <c r="K13" s="465">
        <v>2020</v>
      </c>
      <c r="L13" s="466">
        <v>2</v>
      </c>
      <c r="M13" s="745">
        <v>294508.65999999997</v>
      </c>
      <c r="N13" s="745"/>
      <c r="O13" s="467">
        <v>163361.70000000001</v>
      </c>
      <c r="P13" s="467"/>
      <c r="Q13" s="745">
        <v>131146.96</v>
      </c>
      <c r="R13" s="745"/>
      <c r="S13" s="745">
        <v>10675229.640000001</v>
      </c>
      <c r="T13" s="749"/>
      <c r="U13" s="464"/>
      <c r="V13" s="461">
        <v>2022</v>
      </c>
      <c r="W13" s="466">
        <v>2</v>
      </c>
      <c r="X13" s="745">
        <v>188738.13</v>
      </c>
      <c r="Y13" s="745"/>
      <c r="Z13" s="750">
        <v>103132.31</v>
      </c>
      <c r="AA13" s="750"/>
      <c r="AB13" s="745">
        <v>85605.82</v>
      </c>
      <c r="AC13" s="745">
        <v>85605.82</v>
      </c>
      <c r="AD13" s="745">
        <v>6794999.5599999996</v>
      </c>
      <c r="AE13" s="749"/>
    </row>
    <row r="14" spans="1:52">
      <c r="A14" s="582" t="s">
        <v>194</v>
      </c>
      <c r="B14" s="583"/>
      <c r="C14" s="448"/>
      <c r="D14" s="461">
        <v>2022</v>
      </c>
      <c r="E14" s="462">
        <f>+SUMIF('Sanitary Debentures'!$V$12:$V$61,D14,'Sanitary Debentures'!$X$12:$Y$61)+SUMIF('Sanitary Debentures'!$K$12:$K$61,D14,'Sanitary Debentures'!$M$12:$N$61)</f>
        <v>966493.58</v>
      </c>
      <c r="F14" s="462">
        <f>+SUMIF('Sanitary Debentures'!$V$12:$V$61,D14,$Z$12:$Z$61)+SUMIF('Sanitary Debentures'!$K$12:$K$61,D14,$O$12:$P$61)</f>
        <v>545777.30000000005</v>
      </c>
      <c r="G14" s="462">
        <f>G13+B15-F14</f>
        <v>16796774.98</v>
      </c>
      <c r="H14" s="462">
        <f>+SUMIF('Sanitary Debentures'!$V$12:$V$61,D14,$AB$12:$AB$61)+SUMIF('Sanitary Debentures'!$K$12:$K$61,D14,$Q$12:$R$61)</f>
        <v>420716.28</v>
      </c>
      <c r="I14" s="463">
        <f t="shared" si="0"/>
        <v>420716.28</v>
      </c>
      <c r="J14" s="464"/>
      <c r="K14" s="465">
        <v>2021</v>
      </c>
      <c r="L14" s="466">
        <v>3</v>
      </c>
      <c r="M14" s="745">
        <v>294508.65999999997</v>
      </c>
      <c r="N14" s="745"/>
      <c r="O14" s="467">
        <v>165338.38</v>
      </c>
      <c r="P14" s="467"/>
      <c r="Q14" s="745">
        <v>129170.28</v>
      </c>
      <c r="R14" s="745"/>
      <c r="S14" s="745">
        <v>10509891.26</v>
      </c>
      <c r="T14" s="749"/>
      <c r="U14" s="464"/>
      <c r="V14" s="461">
        <v>2023</v>
      </c>
      <c r="W14" s="466">
        <v>3</v>
      </c>
      <c r="X14" s="745">
        <v>188738.13</v>
      </c>
      <c r="Y14" s="745"/>
      <c r="Z14" s="750">
        <v>104412.19</v>
      </c>
      <c r="AA14" s="750"/>
      <c r="AB14" s="745">
        <v>84325.94</v>
      </c>
      <c r="AC14" s="745">
        <v>84325.94</v>
      </c>
      <c r="AD14" s="745">
        <v>6690587.3700000001</v>
      </c>
      <c r="AE14" s="749"/>
      <c r="AZ14" s="460"/>
    </row>
    <row r="15" spans="1:52">
      <c r="A15" s="449" t="s">
        <v>190</v>
      </c>
      <c r="B15" s="450">
        <v>7000000</v>
      </c>
      <c r="C15" s="402"/>
      <c r="D15" s="461">
        <v>2023</v>
      </c>
      <c r="E15" s="462">
        <f>+SUMIF('Sanitary Debentures'!$V$12:$V$61,D15,'Sanitary Debentures'!$X$12:$Y$61)+SUMIF('Sanitary Debentures'!$K$12:$K$61,D15,'Sanitary Debentures'!$M$12:$N$61)</f>
        <v>966493.58</v>
      </c>
      <c r="F15" s="462">
        <f>+SUMIF('Sanitary Debentures'!$V$12:$V$61,D15,$Z$12:$Z$61)+SUMIF('Sanitary Debentures'!$K$12:$K$61,D15,$O$12:$P$61)</f>
        <v>559193.67999999993</v>
      </c>
      <c r="G15" s="462">
        <f t="shared" ref="G15:G38" si="1">G14-F15</f>
        <v>16237581.300000001</v>
      </c>
      <c r="H15" s="462">
        <f>+SUMIF('Sanitary Debentures'!$V$12:$V$61,D15,$AB$12:$AB$61)+SUMIF('Sanitary Debentures'!$K$12:$K$61,D15,$Q$12:$R$61)</f>
        <v>407299.9</v>
      </c>
      <c r="I15" s="463">
        <f t="shared" si="0"/>
        <v>407299.9</v>
      </c>
      <c r="J15" s="464"/>
      <c r="K15" s="465">
        <v>2021</v>
      </c>
      <c r="L15" s="466">
        <v>4</v>
      </c>
      <c r="M15" s="745">
        <v>294508.65999999997</v>
      </c>
      <c r="N15" s="745"/>
      <c r="O15" s="467">
        <v>167338.98000000001</v>
      </c>
      <c r="P15" s="467"/>
      <c r="Q15" s="745">
        <v>127169.68</v>
      </c>
      <c r="R15" s="745"/>
      <c r="S15" s="745">
        <v>10342552.279999999</v>
      </c>
      <c r="T15" s="749"/>
      <c r="U15" s="464"/>
      <c r="V15" s="461">
        <v>2023</v>
      </c>
      <c r="W15" s="466">
        <v>4</v>
      </c>
      <c r="X15" s="745">
        <v>188738.13</v>
      </c>
      <c r="Y15" s="745"/>
      <c r="Z15" s="750">
        <v>105707.94</v>
      </c>
      <c r="AA15" s="750"/>
      <c r="AB15" s="745">
        <v>83030.19</v>
      </c>
      <c r="AC15" s="745">
        <v>83030.19</v>
      </c>
      <c r="AD15" s="745">
        <v>6584879.4299999997</v>
      </c>
      <c r="AE15" s="749"/>
      <c r="AZ15" s="468"/>
    </row>
    <row r="16" spans="1:52">
      <c r="A16" s="449" t="s">
        <v>192</v>
      </c>
      <c r="B16" s="455">
        <v>2.4199999999999999E-2</v>
      </c>
      <c r="C16" s="402"/>
      <c r="D16" s="461">
        <v>2024</v>
      </c>
      <c r="E16" s="462">
        <f>+SUMIF('Sanitary Debentures'!$V$12:$V$61,D16,'Sanitary Debentures'!$X$12:$Y$61)+SUMIF('Sanitary Debentures'!$K$12:$K$61,D16,'Sanitary Debentures'!$M$12:$N$61)</f>
        <v>966493.58</v>
      </c>
      <c r="F16" s="462">
        <f>+SUMIF('Sanitary Debentures'!$V$12:$V$61,D16,$Z$12:$Z$61)+SUMIF('Sanitary Debentures'!$K$12:$K$61,D16,$O$12:$P$61)</f>
        <v>572939.90999999992</v>
      </c>
      <c r="G16" s="462">
        <f t="shared" si="1"/>
        <v>15664641.390000001</v>
      </c>
      <c r="H16" s="462">
        <f>+SUMIF('Sanitary Debentures'!$V$12:$V$61,D16,$AB$12:$AB$61)+SUMIF('Sanitary Debentures'!$K$12:$K$61,D16,$Q$12:$R$61)</f>
        <v>393553.67000000004</v>
      </c>
      <c r="I16" s="463">
        <f t="shared" si="0"/>
        <v>393553.67000000004</v>
      </c>
      <c r="J16" s="464"/>
      <c r="K16" s="465">
        <v>2022</v>
      </c>
      <c r="L16" s="466">
        <v>5</v>
      </c>
      <c r="M16" s="745">
        <v>294508.65999999997</v>
      </c>
      <c r="N16" s="745"/>
      <c r="O16" s="467">
        <v>169363.78</v>
      </c>
      <c r="P16" s="467"/>
      <c r="Q16" s="745">
        <v>125144.88</v>
      </c>
      <c r="R16" s="745"/>
      <c r="S16" s="745">
        <v>10173188.5</v>
      </c>
      <c r="T16" s="749"/>
      <c r="U16" s="464"/>
      <c r="V16" s="461">
        <v>2024</v>
      </c>
      <c r="W16" s="466">
        <v>5</v>
      </c>
      <c r="X16" s="745">
        <v>188738.13</v>
      </c>
      <c r="Y16" s="745"/>
      <c r="Z16" s="750">
        <v>107019.78</v>
      </c>
      <c r="AA16" s="750"/>
      <c r="AB16" s="745">
        <v>81718.350000000006</v>
      </c>
      <c r="AC16" s="745">
        <v>81718.350000000006</v>
      </c>
      <c r="AD16" s="745">
        <v>6477859.6500000004</v>
      </c>
      <c r="AE16" s="749"/>
      <c r="AZ16" s="468"/>
    </row>
    <row r="17" spans="1:56">
      <c r="A17" s="449" t="s">
        <v>193</v>
      </c>
      <c r="B17" s="457">
        <v>25</v>
      </c>
      <c r="D17" s="461">
        <v>2025</v>
      </c>
      <c r="E17" s="462">
        <f>+SUMIF('Sanitary Debentures'!$V$12:$V$61,D17,'Sanitary Debentures'!$X$12:$Y$61)+SUMIF('Sanitary Debentures'!$K$12:$K$61,D17,'Sanitary Debentures'!$M$12:$N$61)</f>
        <v>966493.58</v>
      </c>
      <c r="F17" s="462">
        <f>+SUMIF('Sanitary Debentures'!$V$12:$V$61,D17,$Z$12:$Z$61)+SUMIF('Sanitary Debentures'!$K$12:$K$61,D17,$O$12:$P$61)</f>
        <v>587024.1</v>
      </c>
      <c r="G17" s="462">
        <f t="shared" si="1"/>
        <v>15077617.290000001</v>
      </c>
      <c r="H17" s="462">
        <f>+SUMIF('Sanitary Debentures'!$V$12:$V$61,D17,$AB$12:$AB$61)+SUMIF('Sanitary Debentures'!$K$12:$K$61,D17,$Q$12:$R$61)</f>
        <v>379469.48</v>
      </c>
      <c r="I17" s="463">
        <f t="shared" si="0"/>
        <v>379469.48</v>
      </c>
      <c r="J17" s="464"/>
      <c r="K17" s="465">
        <v>2022</v>
      </c>
      <c r="L17" s="466">
        <v>6</v>
      </c>
      <c r="M17" s="745">
        <v>294508.65999999997</v>
      </c>
      <c r="N17" s="745"/>
      <c r="O17" s="467">
        <v>171413.08</v>
      </c>
      <c r="P17" s="467"/>
      <c r="Q17" s="745">
        <v>123095.58</v>
      </c>
      <c r="R17" s="745"/>
      <c r="S17" s="745">
        <v>10001775.42</v>
      </c>
      <c r="T17" s="749"/>
      <c r="U17" s="464"/>
      <c r="V17" s="461">
        <v>2024</v>
      </c>
      <c r="W17" s="466">
        <v>6</v>
      </c>
      <c r="X17" s="745">
        <v>188738.13</v>
      </c>
      <c r="Y17" s="745"/>
      <c r="Z17" s="750">
        <v>108347.89</v>
      </c>
      <c r="AA17" s="750"/>
      <c r="AB17" s="745">
        <v>80390.240000000005</v>
      </c>
      <c r="AC17" s="745">
        <v>80390.240000000005</v>
      </c>
      <c r="AD17" s="745">
        <v>6369511.7599999998</v>
      </c>
      <c r="AE17" s="749"/>
      <c r="AZ17" s="468"/>
    </row>
    <row r="18" spans="1:56">
      <c r="A18" s="469" t="s">
        <v>191</v>
      </c>
      <c r="B18" s="470" t="s">
        <v>201</v>
      </c>
      <c r="D18" s="461">
        <v>2026</v>
      </c>
      <c r="E18" s="462">
        <f>+SUMIF('Sanitary Debentures'!$V$12:$V$61,D18,'Sanitary Debentures'!$X$12:$Y$61)+SUMIF('Sanitary Debentures'!$K$12:$K$61,D18,'Sanitary Debentures'!$M$12:$N$61)</f>
        <v>966493.58</v>
      </c>
      <c r="F18" s="462">
        <f>+SUMIF('Sanitary Debentures'!$V$12:$V$61,D18,$Z$12:$Z$61)+SUMIF('Sanitary Debentures'!$K$12:$K$61,D18,$O$12:$P$61)</f>
        <v>601454.56000000006</v>
      </c>
      <c r="G18" s="462">
        <f t="shared" si="1"/>
        <v>14476162.73</v>
      </c>
      <c r="H18" s="462">
        <f>+SUMIF('Sanitary Debentures'!$V$12:$V$61,D18,$AB$12:$AB$61)+SUMIF('Sanitary Debentures'!$K$12:$K$61,D18,$Q$12:$R$61)</f>
        <v>365039.02</v>
      </c>
      <c r="I18" s="463">
        <f t="shared" si="0"/>
        <v>365039.02</v>
      </c>
      <c r="J18" s="464"/>
      <c r="K18" s="465">
        <v>2023</v>
      </c>
      <c r="L18" s="466">
        <v>7</v>
      </c>
      <c r="M18" s="745">
        <v>294508.65999999997</v>
      </c>
      <c r="N18" s="745"/>
      <c r="O18" s="467">
        <v>173487.18</v>
      </c>
      <c r="P18" s="467"/>
      <c r="Q18" s="745">
        <v>121021.48</v>
      </c>
      <c r="R18" s="745"/>
      <c r="S18" s="745">
        <v>9828288.2400000002</v>
      </c>
      <c r="T18" s="749"/>
      <c r="U18" s="464"/>
      <c r="V18" s="461">
        <v>2025</v>
      </c>
      <c r="W18" s="466">
        <v>7</v>
      </c>
      <c r="X18" s="745">
        <v>188738.13</v>
      </c>
      <c r="Y18" s="745"/>
      <c r="Z18" s="750">
        <v>109692.49</v>
      </c>
      <c r="AA18" s="750"/>
      <c r="AB18" s="745">
        <v>79045.64</v>
      </c>
      <c r="AC18" s="745">
        <v>79045.64</v>
      </c>
      <c r="AD18" s="745">
        <v>6259819.2699999996</v>
      </c>
      <c r="AE18" s="749"/>
      <c r="AZ18" s="468"/>
      <c r="BB18" s="746"/>
      <c r="BC18" s="746"/>
    </row>
    <row r="19" spans="1:56">
      <c r="D19" s="461">
        <v>2027</v>
      </c>
      <c r="E19" s="462">
        <f>+SUMIF('Sanitary Debentures'!$V$12:$V$61,D19,'Sanitary Debentures'!$X$12:$Y$61)+SUMIF('Sanitary Debentures'!$K$12:$K$61,D19,'Sanitary Debentures'!$M$12:$N$61)</f>
        <v>966493.58</v>
      </c>
      <c r="F19" s="462">
        <f>+SUMIF('Sanitary Debentures'!$V$12:$V$61,D19,$Z$12:$Z$61)+SUMIF('Sanitary Debentures'!$K$12:$K$61,D19,$O$12:$P$61)</f>
        <v>616239.83000000007</v>
      </c>
      <c r="G19" s="462">
        <f t="shared" si="1"/>
        <v>13859922.9</v>
      </c>
      <c r="H19" s="462">
        <f>+SUMIF('Sanitary Debentures'!$V$12:$V$61,D19,$AB$12:$AB$61)+SUMIF('Sanitary Debentures'!$K$12:$K$61,D19,$Q$12:$R$61)</f>
        <v>350253.75</v>
      </c>
      <c r="I19" s="463">
        <f t="shared" si="0"/>
        <v>350253.75</v>
      </c>
      <c r="J19" s="464"/>
      <c r="K19" s="465">
        <v>2023</v>
      </c>
      <c r="L19" s="466">
        <v>8</v>
      </c>
      <c r="M19" s="745">
        <v>294508.65999999997</v>
      </c>
      <c r="N19" s="745"/>
      <c r="O19" s="467">
        <v>175586.37</v>
      </c>
      <c r="P19" s="467"/>
      <c r="Q19" s="745">
        <v>118922.29</v>
      </c>
      <c r="R19" s="745"/>
      <c r="S19" s="745">
        <v>9652701.8699999992</v>
      </c>
      <c r="T19" s="749"/>
      <c r="U19" s="464"/>
      <c r="V19" s="461">
        <v>2025</v>
      </c>
      <c r="W19" s="466">
        <v>8</v>
      </c>
      <c r="X19" s="745">
        <v>188738.13</v>
      </c>
      <c r="Y19" s="745"/>
      <c r="Z19" s="750">
        <v>111053.77</v>
      </c>
      <c r="AA19" s="750"/>
      <c r="AB19" s="745">
        <v>77684.36</v>
      </c>
      <c r="AC19" s="745">
        <v>77684.36</v>
      </c>
      <c r="AD19" s="745">
        <v>6148765.5</v>
      </c>
      <c r="AE19" s="749"/>
      <c r="AZ19" s="468"/>
      <c r="BA19" s="471"/>
      <c r="BB19" s="471"/>
      <c r="BC19" s="472"/>
      <c r="BD19" s="471"/>
    </row>
    <row r="20" spans="1:56">
      <c r="D20" s="461">
        <v>2028</v>
      </c>
      <c r="E20" s="462">
        <f>+SUMIF('Sanitary Debentures'!$V$12:$V$61,D20,'Sanitary Debentures'!$X$12:$Y$61)+SUMIF('Sanitary Debentures'!$K$12:$K$61,D20,'Sanitary Debentures'!$M$12:$N$61)</f>
        <v>966493.58</v>
      </c>
      <c r="F20" s="462">
        <f>+SUMIF('Sanitary Debentures'!$V$12:$V$61,D20,$Z$12:$Z$61)+SUMIF('Sanitary Debentures'!$K$12:$K$61,D20,$O$12:$P$61)</f>
        <v>631388.6</v>
      </c>
      <c r="G20" s="462">
        <f t="shared" si="1"/>
        <v>13228534.300000001</v>
      </c>
      <c r="H20" s="462">
        <f>+SUMIF('Sanitary Debentures'!$V$12:$V$61,D20,$AB$12:$AB$61)+SUMIF('Sanitary Debentures'!$K$12:$K$61,D20,$Q$12:$R$61)</f>
        <v>335104.98</v>
      </c>
      <c r="I20" s="463">
        <f t="shared" si="0"/>
        <v>335104.98</v>
      </c>
      <c r="J20" s="464"/>
      <c r="K20" s="465">
        <v>2024</v>
      </c>
      <c r="L20" s="466">
        <v>9</v>
      </c>
      <c r="M20" s="745">
        <v>294508.65999999997</v>
      </c>
      <c r="N20" s="745"/>
      <c r="O20" s="467">
        <v>177710.97</v>
      </c>
      <c r="P20" s="467"/>
      <c r="Q20" s="745">
        <v>116797.69</v>
      </c>
      <c r="R20" s="745"/>
      <c r="S20" s="745">
        <v>9474990.9000000004</v>
      </c>
      <c r="T20" s="749"/>
      <c r="U20" s="464"/>
      <c r="V20" s="461">
        <v>2026</v>
      </c>
      <c r="W20" s="466">
        <v>9</v>
      </c>
      <c r="X20" s="745">
        <v>188738.13</v>
      </c>
      <c r="Y20" s="745"/>
      <c r="Z20" s="750">
        <v>112431.95</v>
      </c>
      <c r="AA20" s="750"/>
      <c r="AB20" s="745">
        <v>76306.179999999993</v>
      </c>
      <c r="AC20" s="745">
        <v>76306.179999999993</v>
      </c>
      <c r="AD20" s="745">
        <v>6036333.5499999998</v>
      </c>
      <c r="AE20" s="749"/>
      <c r="AZ20" s="468"/>
      <c r="BB20" s="473"/>
      <c r="BC20" s="474"/>
      <c r="BD20" s="473"/>
    </row>
    <row r="21" spans="1:56">
      <c r="D21" s="461">
        <v>2029</v>
      </c>
      <c r="E21" s="462">
        <f>+SUMIF('Sanitary Debentures'!$V$12:$V$61,D21,'Sanitary Debentures'!$X$12:$Y$61)+SUMIF('Sanitary Debentures'!$K$12:$K$61,D21,'Sanitary Debentures'!$M$12:$N$61)</f>
        <v>966493.58</v>
      </c>
      <c r="F21" s="462">
        <f>+SUMIF('Sanitary Debentures'!$V$12:$V$61,D21,$Z$12:$Z$61)+SUMIF('Sanitary Debentures'!$K$12:$K$61,D21,$O$12:$P$61)</f>
        <v>646909.81999999995</v>
      </c>
      <c r="G21" s="462">
        <f t="shared" si="1"/>
        <v>12581624.48</v>
      </c>
      <c r="H21" s="462">
        <f>+SUMIF('Sanitary Debentures'!$V$12:$V$61,D21,$AB$12:$AB$61)+SUMIF('Sanitary Debentures'!$K$12:$K$61,D21,$Q$12:$R$61)</f>
        <v>319583.76</v>
      </c>
      <c r="I21" s="463">
        <f t="shared" si="0"/>
        <v>319583.76</v>
      </c>
      <c r="J21" s="464"/>
      <c r="K21" s="465">
        <v>2024</v>
      </c>
      <c r="L21" s="466">
        <v>10</v>
      </c>
      <c r="M21" s="745">
        <v>294508.65999999997</v>
      </c>
      <c r="N21" s="745"/>
      <c r="O21" s="467">
        <v>179861.27</v>
      </c>
      <c r="P21" s="467"/>
      <c r="Q21" s="745">
        <v>114647.39</v>
      </c>
      <c r="R21" s="745"/>
      <c r="S21" s="745">
        <v>9295129.6300000008</v>
      </c>
      <c r="T21" s="749"/>
      <c r="U21" s="464"/>
      <c r="V21" s="461">
        <v>2026</v>
      </c>
      <c r="W21" s="466">
        <v>10</v>
      </c>
      <c r="X21" s="745">
        <v>188738.13</v>
      </c>
      <c r="Y21" s="745"/>
      <c r="Z21" s="750">
        <v>113827.23</v>
      </c>
      <c r="AA21" s="750"/>
      <c r="AB21" s="745">
        <v>74910.899999999994</v>
      </c>
      <c r="AC21" s="745">
        <v>74910.899999999994</v>
      </c>
      <c r="AD21" s="745">
        <v>5922506.3200000003</v>
      </c>
      <c r="AE21" s="749"/>
      <c r="AZ21" s="468"/>
      <c r="BB21" s="473"/>
      <c r="BC21" s="474"/>
      <c r="BD21" s="473"/>
    </row>
    <row r="22" spans="1:56">
      <c r="D22" s="461">
        <v>2030</v>
      </c>
      <c r="E22" s="462">
        <f>+SUMIF('Sanitary Debentures'!$V$12:$V$61,D22,'Sanitary Debentures'!$X$12:$Y$61)+SUMIF('Sanitary Debentures'!$K$12:$K$61,D22,'Sanitary Debentures'!$M$12:$N$61)</f>
        <v>966493.58</v>
      </c>
      <c r="F22" s="462">
        <f>+SUMIF('Sanitary Debentures'!$V$12:$V$61,D22,$Z$12:$Z$61)+SUMIF('Sanitary Debentures'!$K$12:$K$61,D22,$O$12:$P$61)</f>
        <v>662812.66999999993</v>
      </c>
      <c r="G22" s="462">
        <f t="shared" si="1"/>
        <v>11918811.810000001</v>
      </c>
      <c r="H22" s="462">
        <f>+SUMIF('Sanitary Debentures'!$V$12:$V$61,D22,$AB$12:$AB$61)+SUMIF('Sanitary Debentures'!$K$12:$K$61,D22,$Q$12:$R$61)</f>
        <v>303680.91000000003</v>
      </c>
      <c r="I22" s="463">
        <f t="shared" si="0"/>
        <v>303680.91000000003</v>
      </c>
      <c r="J22" s="464"/>
      <c r="K22" s="465">
        <v>2025</v>
      </c>
      <c r="L22" s="466">
        <v>11</v>
      </c>
      <c r="M22" s="745">
        <v>294508.65999999997</v>
      </c>
      <c r="N22" s="745"/>
      <c r="O22" s="467">
        <v>182037.59</v>
      </c>
      <c r="P22" s="467"/>
      <c r="Q22" s="745">
        <v>112471.07</v>
      </c>
      <c r="R22" s="745"/>
      <c r="S22" s="745">
        <v>9113092.0399999991</v>
      </c>
      <c r="T22" s="749"/>
      <c r="U22" s="464"/>
      <c r="V22" s="461">
        <v>2027</v>
      </c>
      <c r="W22" s="466">
        <v>11</v>
      </c>
      <c r="X22" s="745">
        <v>188738.13</v>
      </c>
      <c r="Y22" s="745"/>
      <c r="Z22" s="750">
        <v>115239.83</v>
      </c>
      <c r="AA22" s="750"/>
      <c r="AB22" s="745">
        <v>73498.3</v>
      </c>
      <c r="AC22" s="745">
        <v>73498.3</v>
      </c>
      <c r="AD22" s="745">
        <v>5807266.4900000002</v>
      </c>
      <c r="AE22" s="749"/>
      <c r="AZ22" s="468"/>
      <c r="BB22" s="473"/>
      <c r="BC22" s="475"/>
    </row>
    <row r="23" spans="1:56">
      <c r="D23" s="461">
        <v>2031</v>
      </c>
      <c r="E23" s="462">
        <f>+SUMIF('Sanitary Debentures'!$V$12:$V$61,D23,'Sanitary Debentures'!$X$12:$Y$61)+SUMIF('Sanitary Debentures'!$K$12:$K$61,D23,'Sanitary Debentures'!$M$12:$N$61)</f>
        <v>966493.58</v>
      </c>
      <c r="F23" s="462">
        <f>+SUMIF('Sanitary Debentures'!$V$12:$V$61,D23,$Z$12:$Z$61)+SUMIF('Sanitary Debentures'!$K$12:$K$61,D23,$O$12:$P$61)</f>
        <v>679106.5</v>
      </c>
      <c r="G23" s="462">
        <f t="shared" si="1"/>
        <v>11239705.310000001</v>
      </c>
      <c r="H23" s="462">
        <f>+SUMIF('Sanitary Debentures'!$V$12:$V$61,D23,$AB$12:$AB$61)+SUMIF('Sanitary Debentures'!$K$12:$K$61,D23,$Q$12:$R$61)</f>
        <v>287387.07999999996</v>
      </c>
      <c r="I23" s="463">
        <f t="shared" si="0"/>
        <v>287387.07999999996</v>
      </c>
      <c r="J23" s="464"/>
      <c r="K23" s="465">
        <v>2025</v>
      </c>
      <c r="L23" s="466">
        <v>12</v>
      </c>
      <c r="M23" s="745">
        <v>294508.65999999997</v>
      </c>
      <c r="N23" s="745"/>
      <c r="O23" s="467">
        <v>184240.25</v>
      </c>
      <c r="P23" s="467"/>
      <c r="Q23" s="745">
        <v>110268.41</v>
      </c>
      <c r="R23" s="745"/>
      <c r="S23" s="745">
        <v>8928851.7899999991</v>
      </c>
      <c r="T23" s="749"/>
      <c r="U23" s="464"/>
      <c r="V23" s="461">
        <v>2027</v>
      </c>
      <c r="W23" s="466">
        <v>12</v>
      </c>
      <c r="X23" s="745">
        <v>188738.13</v>
      </c>
      <c r="Y23" s="745"/>
      <c r="Z23" s="750">
        <v>116669.95</v>
      </c>
      <c r="AA23" s="750"/>
      <c r="AB23" s="745">
        <v>72068.179999999993</v>
      </c>
      <c r="AC23" s="745">
        <v>72068.179999999993</v>
      </c>
      <c r="AD23" s="745">
        <v>5690596.54</v>
      </c>
      <c r="AE23" s="749"/>
      <c r="AZ23" s="468"/>
    </row>
    <row r="24" spans="1:56">
      <c r="D24" s="461">
        <v>2032</v>
      </c>
      <c r="E24" s="462">
        <f>+SUMIF('Sanitary Debentures'!$V$12:$V$61,D24,'Sanitary Debentures'!$X$12:$Y$61)+SUMIF('Sanitary Debentures'!$K$12:$K$61,D24,'Sanitary Debentures'!$M$12:$N$61)</f>
        <v>966493.58</v>
      </c>
      <c r="F24" s="462">
        <f>+SUMIF('Sanitary Debentures'!$V$12:$V$61,D24,$Z$12:$Z$61)+SUMIF('Sanitary Debentures'!$K$12:$K$61,D24,$O$12:$P$61)</f>
        <v>695800.95</v>
      </c>
      <c r="G24" s="462">
        <f t="shared" si="1"/>
        <v>10543904.360000001</v>
      </c>
      <c r="H24" s="462">
        <f>+SUMIF('Sanitary Debentures'!$V$12:$V$61,D24,$AB$12:$AB$61)+SUMIF('Sanitary Debentures'!$K$12:$K$61,D24,$Q$12:$R$61)</f>
        <v>270692.63</v>
      </c>
      <c r="I24" s="463">
        <f t="shared" si="0"/>
        <v>270692.63</v>
      </c>
      <c r="J24" s="464"/>
      <c r="K24" s="465">
        <v>2026</v>
      </c>
      <c r="L24" s="466">
        <v>13</v>
      </c>
      <c r="M24" s="745">
        <v>294508.65999999997</v>
      </c>
      <c r="N24" s="745"/>
      <c r="O24" s="467">
        <v>186469.55</v>
      </c>
      <c r="P24" s="467"/>
      <c r="Q24" s="745">
        <v>108039.11</v>
      </c>
      <c r="R24" s="745"/>
      <c r="S24" s="745">
        <v>8742382.2400000002</v>
      </c>
      <c r="T24" s="749"/>
      <c r="U24" s="464"/>
      <c r="V24" s="461">
        <v>2028</v>
      </c>
      <c r="W24" s="466">
        <v>13</v>
      </c>
      <c r="X24" s="745">
        <v>188738.13</v>
      </c>
      <c r="Y24" s="745"/>
      <c r="Z24" s="750">
        <v>118117.83</v>
      </c>
      <c r="AA24" s="750"/>
      <c r="AB24" s="745">
        <v>70620.3</v>
      </c>
      <c r="AC24" s="745">
        <v>70620.3</v>
      </c>
      <c r="AD24" s="745">
        <v>5572478.71</v>
      </c>
      <c r="AE24" s="749"/>
      <c r="AZ24" s="468"/>
    </row>
    <row r="25" spans="1:56">
      <c r="D25" s="461">
        <v>2033</v>
      </c>
      <c r="E25" s="462">
        <f>+SUMIF('Sanitary Debentures'!$V$12:$V$61,D25,'Sanitary Debentures'!$X$12:$Y$61)+SUMIF('Sanitary Debentures'!$K$12:$K$61,D25,'Sanitary Debentures'!$M$12:$N$61)</f>
        <v>966493.58</v>
      </c>
      <c r="F25" s="462">
        <f>+SUMIF('Sanitary Debentures'!$V$12:$V$61,D25,$Z$12:$Z$61)+SUMIF('Sanitary Debentures'!$K$12:$K$61,D25,$O$12:$P$61)</f>
        <v>712905.85000000009</v>
      </c>
      <c r="G25" s="462">
        <f t="shared" si="1"/>
        <v>9830998.5100000016</v>
      </c>
      <c r="H25" s="462">
        <f>+SUMIF('Sanitary Debentures'!$V$12:$V$61,D25,$AB$12:$AB$61)+SUMIF('Sanitary Debentures'!$K$12:$K$61,D25,$Q$12:$R$61)</f>
        <v>253587.72999999998</v>
      </c>
      <c r="I25" s="463">
        <f t="shared" si="0"/>
        <v>253587.72999999998</v>
      </c>
      <c r="J25" s="464"/>
      <c r="K25" s="465">
        <v>2026</v>
      </c>
      <c r="L25" s="466">
        <v>14</v>
      </c>
      <c r="M25" s="745">
        <v>294508.65999999997</v>
      </c>
      <c r="N25" s="745"/>
      <c r="O25" s="467">
        <v>188725.83</v>
      </c>
      <c r="P25" s="467"/>
      <c r="Q25" s="745">
        <v>105782.83</v>
      </c>
      <c r="R25" s="745"/>
      <c r="S25" s="745">
        <v>8553656.4100000001</v>
      </c>
      <c r="T25" s="749"/>
      <c r="U25" s="464"/>
      <c r="V25" s="461">
        <v>2028</v>
      </c>
      <c r="W25" s="466">
        <v>14</v>
      </c>
      <c r="X25" s="745">
        <v>188738.13</v>
      </c>
      <c r="Y25" s="745"/>
      <c r="Z25" s="750">
        <v>119583.67</v>
      </c>
      <c r="AA25" s="750"/>
      <c r="AB25" s="745">
        <v>69154.460000000006</v>
      </c>
      <c r="AC25" s="745">
        <v>69154.460000000006</v>
      </c>
      <c r="AD25" s="745">
        <v>5452895.04</v>
      </c>
      <c r="AE25" s="749"/>
      <c r="AZ25" s="468"/>
    </row>
    <row r="26" spans="1:56">
      <c r="D26" s="461">
        <v>2034</v>
      </c>
      <c r="E26" s="462">
        <f>+SUMIF('Sanitary Debentures'!$V$12:$V$61,D26,'Sanitary Debentures'!$X$12:$Y$61)+SUMIF('Sanitary Debentures'!$K$12:$K$61,D26,'Sanitary Debentures'!$M$12:$N$61)</f>
        <v>966493.58</v>
      </c>
      <c r="F26" s="462">
        <f>+SUMIF('Sanitary Debentures'!$V$12:$V$61,D26,$Z$12:$Z$61)+SUMIF('Sanitary Debentures'!$K$12:$K$61,D26,$O$12:$P$61)</f>
        <v>730431.32000000007</v>
      </c>
      <c r="G26" s="462">
        <f t="shared" si="1"/>
        <v>9100567.1900000013</v>
      </c>
      <c r="H26" s="462">
        <f>+SUMIF('Sanitary Debentures'!$V$12:$V$61,D26,$AB$12:$AB$61)+SUMIF('Sanitary Debentures'!$K$12:$K$61,D26,$Q$12:$R$61)</f>
        <v>236062.26</v>
      </c>
      <c r="I26" s="463">
        <f t="shared" si="0"/>
        <v>236062.26</v>
      </c>
      <c r="J26" s="464"/>
      <c r="K26" s="465">
        <v>2027</v>
      </c>
      <c r="L26" s="466">
        <v>15</v>
      </c>
      <c r="M26" s="745">
        <v>294508.65999999997</v>
      </c>
      <c r="N26" s="745"/>
      <c r="O26" s="467">
        <v>191009.42</v>
      </c>
      <c r="P26" s="467"/>
      <c r="Q26" s="745">
        <v>103499.24</v>
      </c>
      <c r="R26" s="745"/>
      <c r="S26" s="745">
        <v>8362646.9900000002</v>
      </c>
      <c r="T26" s="749"/>
      <c r="U26" s="464"/>
      <c r="V26" s="461">
        <v>2029</v>
      </c>
      <c r="W26" s="466">
        <v>15</v>
      </c>
      <c r="X26" s="745">
        <v>188738.13</v>
      </c>
      <c r="Y26" s="745"/>
      <c r="Z26" s="750">
        <v>121067.7</v>
      </c>
      <c r="AA26" s="750"/>
      <c r="AB26" s="745">
        <v>67670.429999999993</v>
      </c>
      <c r="AC26" s="745">
        <v>67670.429999999993</v>
      </c>
      <c r="AD26" s="745">
        <v>5331827.34</v>
      </c>
      <c r="AE26" s="749"/>
      <c r="AZ26" s="468"/>
      <c r="BB26" s="473"/>
    </row>
    <row r="27" spans="1:56">
      <c r="D27" s="461">
        <v>2035</v>
      </c>
      <c r="E27" s="462">
        <f>+SUMIF('Sanitary Debentures'!$V$12:$V$61,D27,'Sanitary Debentures'!$X$12:$Y$61)+SUMIF('Sanitary Debentures'!$K$12:$K$61,D27,'Sanitary Debentures'!$M$12:$N$61)</f>
        <v>966493.58</v>
      </c>
      <c r="F27" s="462">
        <f>+SUMIF('Sanitary Debentures'!$V$12:$V$61,D27,$Z$12:$Z$61)+SUMIF('Sanitary Debentures'!$K$12:$K$61,D27,$O$12:$P$61)</f>
        <v>748387.66999999993</v>
      </c>
      <c r="G27" s="462">
        <f t="shared" si="1"/>
        <v>8352179.5200000014</v>
      </c>
      <c r="H27" s="462">
        <f>+SUMIF('Sanitary Debentures'!$V$12:$V$61,D27,$AB$12:$AB$61)+SUMIF('Sanitary Debentures'!$K$12:$K$61,D27,$Q$12:$R$61)</f>
        <v>218105.91</v>
      </c>
      <c r="I27" s="463">
        <f t="shared" si="0"/>
        <v>218105.91</v>
      </c>
      <c r="J27" s="464"/>
      <c r="K27" s="465">
        <v>2027</v>
      </c>
      <c r="L27" s="466">
        <v>16</v>
      </c>
      <c r="M27" s="745">
        <v>294508.65999999997</v>
      </c>
      <c r="N27" s="745"/>
      <c r="O27" s="467">
        <v>193320.63</v>
      </c>
      <c r="P27" s="467"/>
      <c r="Q27" s="745">
        <v>101188.03</v>
      </c>
      <c r="R27" s="745"/>
      <c r="S27" s="745">
        <v>8169326.3600000003</v>
      </c>
      <c r="T27" s="749"/>
      <c r="U27" s="464"/>
      <c r="V27" s="461">
        <v>2029</v>
      </c>
      <c r="W27" s="466">
        <v>16</v>
      </c>
      <c r="X27" s="745">
        <v>188738.13</v>
      </c>
      <c r="Y27" s="745"/>
      <c r="Z27" s="750">
        <v>122570.15</v>
      </c>
      <c r="AA27" s="750"/>
      <c r="AB27" s="745">
        <v>66167.98</v>
      </c>
      <c r="AC27" s="745">
        <v>66167.98</v>
      </c>
      <c r="AD27" s="745">
        <v>5209257.1900000004</v>
      </c>
      <c r="AE27" s="749"/>
      <c r="AZ27" s="468"/>
    </row>
    <row r="28" spans="1:56">
      <c r="D28" s="461">
        <v>2036</v>
      </c>
      <c r="E28" s="462">
        <f>+SUMIF('Sanitary Debentures'!$V$12:$V$61,D28,'Sanitary Debentures'!$X$12:$Y$61)+SUMIF('Sanitary Debentures'!$K$12:$K$61,D28,'Sanitary Debentures'!$M$12:$N$61)</f>
        <v>966493.58</v>
      </c>
      <c r="F28" s="462">
        <f>+SUMIF('Sanitary Debentures'!$V$12:$V$61,D28,$Z$12:$Z$61)+SUMIF('Sanitary Debentures'!$K$12:$K$61,D28,$O$12:$P$61)</f>
        <v>766785.52</v>
      </c>
      <c r="G28" s="462">
        <f t="shared" si="1"/>
        <v>7585394.0000000019</v>
      </c>
      <c r="H28" s="462">
        <f>+SUMIF('Sanitary Debentures'!$V$12:$V$61,D28,$AB$12:$AB$61)+SUMIF('Sanitary Debentures'!$K$12:$K$61,D28,$Q$12:$R$61)</f>
        <v>199708.06</v>
      </c>
      <c r="I28" s="463">
        <f t="shared" si="0"/>
        <v>199708.06</v>
      </c>
      <c r="J28" s="464"/>
      <c r="K28" s="465">
        <v>2028</v>
      </c>
      <c r="L28" s="466">
        <v>17</v>
      </c>
      <c r="M28" s="745">
        <v>294508.65999999997</v>
      </c>
      <c r="N28" s="745"/>
      <c r="O28" s="467">
        <v>195659.81</v>
      </c>
      <c r="P28" s="467"/>
      <c r="Q28" s="745">
        <v>98848.85</v>
      </c>
      <c r="R28" s="745"/>
      <c r="S28" s="745">
        <v>7973666.5499999998</v>
      </c>
      <c r="T28" s="749"/>
      <c r="U28" s="464"/>
      <c r="V28" s="461">
        <v>2030</v>
      </c>
      <c r="W28" s="466">
        <v>17</v>
      </c>
      <c r="X28" s="745">
        <v>188738.13</v>
      </c>
      <c r="Y28" s="745"/>
      <c r="Z28" s="750">
        <v>124091.25</v>
      </c>
      <c r="AA28" s="750"/>
      <c r="AB28" s="745">
        <v>64646.879999999997</v>
      </c>
      <c r="AC28" s="745">
        <v>64646.879999999997</v>
      </c>
      <c r="AD28" s="745">
        <v>5085165.9400000004</v>
      </c>
      <c r="AE28" s="749"/>
      <c r="AZ28" s="468"/>
    </row>
    <row r="29" spans="1:56">
      <c r="D29" s="461">
        <v>2037</v>
      </c>
      <c r="E29" s="462">
        <f>+SUMIF('Sanitary Debentures'!$V$12:$V$61,D29,'Sanitary Debentures'!$X$12:$Y$61)+SUMIF('Sanitary Debentures'!$K$12:$K$61,D29,'Sanitary Debentures'!$M$12:$N$61)</f>
        <v>966493.58</v>
      </c>
      <c r="F29" s="462">
        <f>+SUMIF('Sanitary Debentures'!$V$12:$V$61,D29,$Z$12:$Z$61)+SUMIF('Sanitary Debentures'!$K$12:$K$61,D29,$O$12:$P$61)</f>
        <v>785635.73</v>
      </c>
      <c r="G29" s="462">
        <f t="shared" si="1"/>
        <v>6799758.2700000014</v>
      </c>
      <c r="H29" s="462">
        <f>+SUMIF('Sanitary Debentures'!$V$12:$V$61,D29,$AB$12:$AB$61)+SUMIF('Sanitary Debentures'!$K$12:$K$61,D29,$Q$12:$R$61)</f>
        <v>180857.84999999998</v>
      </c>
      <c r="I29" s="463">
        <f t="shared" si="0"/>
        <v>180857.84999999998</v>
      </c>
      <c r="J29" s="464"/>
      <c r="K29" s="465">
        <v>2028</v>
      </c>
      <c r="L29" s="466">
        <v>18</v>
      </c>
      <c r="M29" s="745">
        <v>294508.65999999997</v>
      </c>
      <c r="N29" s="745"/>
      <c r="O29" s="467">
        <v>198027.29</v>
      </c>
      <c r="P29" s="467"/>
      <c r="Q29" s="745">
        <v>96481.37</v>
      </c>
      <c r="R29" s="745"/>
      <c r="S29" s="745">
        <v>7775639.2599999998</v>
      </c>
      <c r="T29" s="749"/>
      <c r="U29" s="464"/>
      <c r="V29" s="461">
        <v>2030</v>
      </c>
      <c r="W29" s="466">
        <v>18</v>
      </c>
      <c r="X29" s="745">
        <v>188738.13</v>
      </c>
      <c r="Y29" s="745"/>
      <c r="Z29" s="750">
        <v>125631.22</v>
      </c>
      <c r="AA29" s="750"/>
      <c r="AB29" s="745">
        <v>63106.91</v>
      </c>
      <c r="AC29" s="745">
        <v>63106.91</v>
      </c>
      <c r="AD29" s="745">
        <v>4959534.72</v>
      </c>
      <c r="AE29" s="749"/>
      <c r="AZ29" s="468"/>
    </row>
    <row r="30" spans="1:56">
      <c r="D30" s="461">
        <v>2038</v>
      </c>
      <c r="E30" s="462">
        <f>+SUMIF('Sanitary Debentures'!$V$12:$V$61,D30,'Sanitary Debentures'!$X$12:$Y$61)+SUMIF('Sanitary Debentures'!$K$12:$K$61,D30,'Sanitary Debentures'!$M$12:$N$61)</f>
        <v>966493.58</v>
      </c>
      <c r="F30" s="462">
        <f>+SUMIF('Sanitary Debentures'!$V$12:$V$61,D30,$Z$12:$Z$61)+SUMIF('Sanitary Debentures'!$K$12:$K$61,D30,$O$12:$P$61)</f>
        <v>804949.39</v>
      </c>
      <c r="G30" s="462">
        <f t="shared" si="1"/>
        <v>5994808.8800000018</v>
      </c>
      <c r="H30" s="462">
        <f>+SUMIF('Sanitary Debentures'!$V$12:$V$61,D30,$AB$12:$AB$61)+SUMIF('Sanitary Debentures'!$K$12:$K$61,D30,$Q$12:$R$61)</f>
        <v>161544.19</v>
      </c>
      <c r="I30" s="463">
        <f t="shared" si="0"/>
        <v>161544.19</v>
      </c>
      <c r="J30" s="464"/>
      <c r="K30" s="465">
        <v>2029</v>
      </c>
      <c r="L30" s="466">
        <v>19</v>
      </c>
      <c r="M30" s="745">
        <v>294508.65999999997</v>
      </c>
      <c r="N30" s="745"/>
      <c r="O30" s="467">
        <v>200423.42</v>
      </c>
      <c r="P30" s="467"/>
      <c r="Q30" s="745">
        <v>94085.24</v>
      </c>
      <c r="R30" s="745"/>
      <c r="S30" s="745">
        <v>7575215.8399999999</v>
      </c>
      <c r="T30" s="749"/>
      <c r="U30" s="464"/>
      <c r="V30" s="461">
        <v>2031</v>
      </c>
      <c r="W30" s="466">
        <v>19</v>
      </c>
      <c r="X30" s="745">
        <v>188738.13</v>
      </c>
      <c r="Y30" s="745"/>
      <c r="Z30" s="750">
        <v>127190.3</v>
      </c>
      <c r="AA30" s="750"/>
      <c r="AB30" s="745">
        <v>61547.83</v>
      </c>
      <c r="AC30" s="745">
        <v>61547.83</v>
      </c>
      <c r="AD30" s="745">
        <v>4832344.42</v>
      </c>
      <c r="AE30" s="749"/>
      <c r="AZ30" s="468"/>
    </row>
    <row r="31" spans="1:56">
      <c r="D31" s="461">
        <v>2039</v>
      </c>
      <c r="E31" s="462">
        <f>+SUMIF('Sanitary Debentures'!$V$12:$V$61,D31,'Sanitary Debentures'!$X$12:$Y$61)+SUMIF('Sanitary Debentures'!$K$12:$K$61,D31,'Sanitary Debentures'!$M$12:$N$61)</f>
        <v>966493.58</v>
      </c>
      <c r="F31" s="462">
        <f>+SUMIF('Sanitary Debentures'!$V$12:$V$61,D31,$Z$12:$Z$61)+SUMIF('Sanitary Debentures'!$K$12:$K$61,D31,$O$12:$P$61)</f>
        <v>824737.94</v>
      </c>
      <c r="G31" s="462">
        <f t="shared" si="1"/>
        <v>5170070.9400000013</v>
      </c>
      <c r="H31" s="462">
        <f>+SUMIF('Sanitary Debentures'!$V$12:$V$61,D31,$AB$12:$AB$61)+SUMIF('Sanitary Debentures'!$K$12:$K$61,D31,$Q$12:$R$61)</f>
        <v>141755.64000000001</v>
      </c>
      <c r="I31" s="463">
        <f t="shared" si="0"/>
        <v>141755.64000000001</v>
      </c>
      <c r="J31" s="464"/>
      <c r="K31" s="465">
        <v>2029</v>
      </c>
      <c r="L31" s="466">
        <v>20</v>
      </c>
      <c r="M31" s="745">
        <v>294508.65999999997</v>
      </c>
      <c r="N31" s="745"/>
      <c r="O31" s="467">
        <v>202848.55</v>
      </c>
      <c r="P31" s="467"/>
      <c r="Q31" s="745">
        <v>91660.11</v>
      </c>
      <c r="R31" s="745"/>
      <c r="S31" s="745">
        <v>7372367.29</v>
      </c>
      <c r="T31" s="749"/>
      <c r="U31" s="464"/>
      <c r="V31" s="461">
        <v>2031</v>
      </c>
      <c r="W31" s="466">
        <v>20</v>
      </c>
      <c r="X31" s="745">
        <v>188738.13</v>
      </c>
      <c r="Y31" s="745"/>
      <c r="Z31" s="750">
        <v>128768.74</v>
      </c>
      <c r="AA31" s="750"/>
      <c r="AB31" s="745">
        <v>59969.39</v>
      </c>
      <c r="AC31" s="745">
        <v>59969.39</v>
      </c>
      <c r="AD31" s="745">
        <v>4703575.68</v>
      </c>
      <c r="AE31" s="749"/>
      <c r="AZ31" s="468"/>
    </row>
    <row r="32" spans="1:56">
      <c r="D32" s="461">
        <v>2040</v>
      </c>
      <c r="E32" s="462">
        <f>+SUMIF('Sanitary Debentures'!$V$12:$V$61,D32,'Sanitary Debentures'!$X$12:$Y$61)+SUMIF('Sanitary Debentures'!$K$12:$K$61,D32,'Sanitary Debentures'!$M$12:$N$61)</f>
        <v>966493.58</v>
      </c>
      <c r="F32" s="462">
        <f>+SUMIF('Sanitary Debentures'!$V$12:$V$61,D32,$Z$12:$Z$61)+SUMIF('Sanitary Debentures'!$K$12:$K$61,D32,$O$12:$P$61)</f>
        <v>845013.03</v>
      </c>
      <c r="G32" s="462">
        <f t="shared" si="1"/>
        <v>4325057.9100000011</v>
      </c>
      <c r="H32" s="462">
        <f>+SUMIF('Sanitary Debentures'!$V$12:$V$61,D32,$AB$12:$AB$61)+SUMIF('Sanitary Debentures'!$K$12:$K$61,D32,$Q$12:$R$61)</f>
        <v>121480.55</v>
      </c>
      <c r="I32" s="463">
        <f t="shared" si="0"/>
        <v>121480.55</v>
      </c>
      <c r="J32" s="464"/>
      <c r="K32" s="465">
        <v>2030</v>
      </c>
      <c r="L32" s="466">
        <v>21</v>
      </c>
      <c r="M32" s="745">
        <v>294508.65999999997</v>
      </c>
      <c r="N32" s="745"/>
      <c r="O32" s="467">
        <v>205303.02</v>
      </c>
      <c r="P32" s="467"/>
      <c r="Q32" s="745">
        <v>89205.64</v>
      </c>
      <c r="R32" s="745"/>
      <c r="S32" s="745">
        <v>7167064.2699999996</v>
      </c>
      <c r="T32" s="749"/>
      <c r="U32" s="464"/>
      <c r="V32" s="461">
        <v>2032</v>
      </c>
      <c r="W32" s="466">
        <v>21</v>
      </c>
      <c r="X32" s="745">
        <v>188738.13</v>
      </c>
      <c r="Y32" s="745"/>
      <c r="Z32" s="750">
        <v>130366.76</v>
      </c>
      <c r="AA32" s="750"/>
      <c r="AB32" s="745">
        <v>58371.37</v>
      </c>
      <c r="AC32" s="745">
        <v>58371.37</v>
      </c>
      <c r="AD32" s="745">
        <v>4573208.92</v>
      </c>
      <c r="AE32" s="749"/>
      <c r="AZ32" s="468"/>
    </row>
    <row r="33" spans="4:52">
      <c r="D33" s="461">
        <v>2041</v>
      </c>
      <c r="E33" s="462">
        <f>+SUMIF('Sanitary Debentures'!$V$12:$V$61,D33,'Sanitary Debentures'!$X$12:$Y$61)+SUMIF('Sanitary Debentures'!$K$12:$K$61,D33,'Sanitary Debentures'!$M$12:$N$61)</f>
        <v>966493.58</v>
      </c>
      <c r="F33" s="462">
        <f>+SUMIF('Sanitary Debentures'!$V$12:$V$61,D33,$Z$12:$Z$61)+SUMIF('Sanitary Debentures'!$K$12:$K$61,D33,$O$12:$P$61)</f>
        <v>865786.63</v>
      </c>
      <c r="G33" s="462">
        <f t="shared" si="1"/>
        <v>3459271.2800000012</v>
      </c>
      <c r="H33" s="462">
        <f>+SUMIF('Sanitary Debentures'!$V$12:$V$61,D33,$AB$12:$AB$61)+SUMIF('Sanitary Debentures'!$K$12:$K$61,D33,$Q$12:$R$61)</f>
        <v>100706.95000000001</v>
      </c>
      <c r="I33" s="463">
        <f t="shared" si="0"/>
        <v>100706.95000000001</v>
      </c>
      <c r="J33" s="464"/>
      <c r="K33" s="465">
        <v>2030</v>
      </c>
      <c r="L33" s="466">
        <v>22</v>
      </c>
      <c r="M33" s="745">
        <v>294508.65999999997</v>
      </c>
      <c r="N33" s="745"/>
      <c r="O33" s="467">
        <v>207787.18</v>
      </c>
      <c r="P33" s="467"/>
      <c r="Q33" s="745">
        <v>86721.48</v>
      </c>
      <c r="R33" s="745"/>
      <c r="S33" s="745">
        <v>6959277.0899999999</v>
      </c>
      <c r="T33" s="749"/>
      <c r="U33" s="464"/>
      <c r="V33" s="461">
        <v>2032</v>
      </c>
      <c r="W33" s="466">
        <v>22</v>
      </c>
      <c r="X33" s="745">
        <v>188738.13</v>
      </c>
      <c r="Y33" s="745"/>
      <c r="Z33" s="750">
        <v>131984.60999999999</v>
      </c>
      <c r="AA33" s="750"/>
      <c r="AB33" s="745">
        <v>56753.52</v>
      </c>
      <c r="AC33" s="745">
        <v>56753.52</v>
      </c>
      <c r="AD33" s="745">
        <v>4441224.3099999996</v>
      </c>
      <c r="AE33" s="749"/>
      <c r="AZ33" s="468"/>
    </row>
    <row r="34" spans="4:52">
      <c r="D34" s="461">
        <v>2042</v>
      </c>
      <c r="E34" s="462">
        <f>+SUMIF('Sanitary Debentures'!$V$12:$V$61,D34,'Sanitary Debentures'!$X$12:$Y$61)+SUMIF('Sanitary Debentures'!$K$12:$K$61,D34,'Sanitary Debentures'!$M$12:$N$61)</f>
        <v>966493.58</v>
      </c>
      <c r="F34" s="462">
        <f>+SUMIF('Sanitary Debentures'!$V$12:$V$61,D34,$Z$12:$Z$61)+SUMIF('Sanitary Debentures'!$K$12:$K$61,D34,$O$12:$P$61)</f>
        <v>887071.02</v>
      </c>
      <c r="G34" s="462">
        <f t="shared" si="1"/>
        <v>2572200.2600000012</v>
      </c>
      <c r="H34" s="462">
        <f>+SUMIF('Sanitary Debentures'!$V$12:$V$61,D34,$AB$12:$AB$61)+SUMIF('Sanitary Debentures'!$K$12:$K$61,D34,$Q$12:$R$61)</f>
        <v>79422.559999999998</v>
      </c>
      <c r="I34" s="463">
        <f t="shared" si="0"/>
        <v>79422.559999999998</v>
      </c>
      <c r="J34" s="464"/>
      <c r="K34" s="465">
        <v>2031</v>
      </c>
      <c r="L34" s="466">
        <v>23</v>
      </c>
      <c r="M34" s="745">
        <v>294508.65999999997</v>
      </c>
      <c r="N34" s="745"/>
      <c r="O34" s="467">
        <v>210301.41</v>
      </c>
      <c r="P34" s="467"/>
      <c r="Q34" s="745">
        <v>84207.25</v>
      </c>
      <c r="R34" s="745"/>
      <c r="S34" s="745">
        <v>6748975.6799999997</v>
      </c>
      <c r="T34" s="749"/>
      <c r="U34" s="464"/>
      <c r="V34" s="461">
        <v>2033</v>
      </c>
      <c r="W34" s="466">
        <v>23</v>
      </c>
      <c r="X34" s="745">
        <v>188738.13</v>
      </c>
      <c r="Y34" s="745"/>
      <c r="Z34" s="750">
        <v>133622.54</v>
      </c>
      <c r="AA34" s="750"/>
      <c r="AB34" s="745">
        <v>55115.59</v>
      </c>
      <c r="AC34" s="745">
        <v>55115.59</v>
      </c>
      <c r="AD34" s="745">
        <v>4307601.7699999996</v>
      </c>
      <c r="AE34" s="749"/>
      <c r="AZ34" s="468"/>
    </row>
    <row r="35" spans="4:52">
      <c r="D35" s="461">
        <v>2043</v>
      </c>
      <c r="E35" s="462">
        <f>+SUMIF('Sanitary Debentures'!$V$12:$V$61,D35,'Sanitary Debentures'!$X$12:$Y$61)+SUMIF('Sanitary Debentures'!$K$12:$K$61,D35,'Sanitary Debentures'!$M$12:$N$61)</f>
        <v>966493.58</v>
      </c>
      <c r="F35" s="462">
        <f>+SUMIF('Sanitary Debentures'!$V$12:$V$61,D35,$Z$12:$Z$61)+SUMIF('Sanitary Debentures'!$K$12:$K$61,D35,$O$12:$P$61)</f>
        <v>908878.72</v>
      </c>
      <c r="G35" s="462">
        <f t="shared" si="1"/>
        <v>1663321.5400000012</v>
      </c>
      <c r="H35" s="462">
        <f>+SUMIF('Sanitary Debentures'!$V$12:$V$61,D35,$AB$12:$AB$61)+SUMIF('Sanitary Debentures'!$K$12:$K$61,D35,$Q$12:$R$61)</f>
        <v>57614.86</v>
      </c>
      <c r="I35" s="463">
        <f t="shared" si="0"/>
        <v>57614.86</v>
      </c>
      <c r="J35" s="464"/>
      <c r="K35" s="465">
        <v>2031</v>
      </c>
      <c r="L35" s="466">
        <v>24</v>
      </c>
      <c r="M35" s="745">
        <v>294508.65999999997</v>
      </c>
      <c r="N35" s="745"/>
      <c r="O35" s="467">
        <v>212846.05</v>
      </c>
      <c r="P35" s="467"/>
      <c r="Q35" s="745">
        <v>81662.61</v>
      </c>
      <c r="R35" s="745"/>
      <c r="S35" s="745">
        <v>6536129.6299999999</v>
      </c>
      <c r="T35" s="749"/>
      <c r="U35" s="464"/>
      <c r="V35" s="461">
        <v>2033</v>
      </c>
      <c r="W35" s="466">
        <v>24</v>
      </c>
      <c r="X35" s="745">
        <v>188738.13</v>
      </c>
      <c r="Y35" s="745"/>
      <c r="Z35" s="750">
        <v>135280.79</v>
      </c>
      <c r="AA35" s="750"/>
      <c r="AB35" s="745">
        <v>53457.34</v>
      </c>
      <c r="AC35" s="745">
        <v>53457.34</v>
      </c>
      <c r="AD35" s="745">
        <v>4172320.98</v>
      </c>
      <c r="AE35" s="749"/>
      <c r="AZ35" s="468"/>
    </row>
    <row r="36" spans="4:52">
      <c r="D36" s="461">
        <v>2044</v>
      </c>
      <c r="E36" s="462">
        <f>+SUMIF('Sanitary Debentures'!$V$12:$V$61,D36,'Sanitary Debentures'!$X$12:$Y$61)+SUMIF('Sanitary Debentures'!$K$12:$K$61,D36,'Sanitary Debentures'!$M$12:$N$61)</f>
        <v>966493.58</v>
      </c>
      <c r="F36" s="462">
        <f>+SUMIF('Sanitary Debentures'!$V$12:$V$61,D36,$Z$12:$Z$61)+SUMIF('Sanitary Debentures'!$K$12:$K$61,D36,$O$12:$P$61)</f>
        <v>931222.37000000011</v>
      </c>
      <c r="G36" s="462">
        <f t="shared" si="1"/>
        <v>732099.17000000109</v>
      </c>
      <c r="H36" s="462">
        <f>+SUMIF('Sanitary Debentures'!$V$12:$V$61,D36,$AB$12:$AB$61)+SUMIF('Sanitary Debentures'!$K$12:$K$61,D36,$Q$12:$R$61)</f>
        <v>35271.210000000006</v>
      </c>
      <c r="I36" s="463">
        <f t="shared" si="0"/>
        <v>35271.210000000006</v>
      </c>
      <c r="J36" s="464"/>
      <c r="K36" s="465">
        <v>2032</v>
      </c>
      <c r="L36" s="466">
        <v>25</v>
      </c>
      <c r="M36" s="745">
        <v>294508.65999999997</v>
      </c>
      <c r="N36" s="745"/>
      <c r="O36" s="467">
        <v>215421.49</v>
      </c>
      <c r="P36" s="467"/>
      <c r="Q36" s="745">
        <v>79087.17</v>
      </c>
      <c r="R36" s="745"/>
      <c r="S36" s="745">
        <v>6320708.1399999997</v>
      </c>
      <c r="T36" s="749"/>
      <c r="U36" s="464"/>
      <c r="V36" s="461">
        <v>2034</v>
      </c>
      <c r="W36" s="466">
        <v>25</v>
      </c>
      <c r="X36" s="745">
        <v>188738.13</v>
      </c>
      <c r="Y36" s="745"/>
      <c r="Z36" s="750">
        <v>136959.63</v>
      </c>
      <c r="AA36" s="750"/>
      <c r="AB36" s="745">
        <v>51778.5</v>
      </c>
      <c r="AC36" s="745">
        <v>51778.5</v>
      </c>
      <c r="AD36" s="745">
        <v>4035361.35</v>
      </c>
      <c r="AE36" s="749"/>
      <c r="AZ36" s="468"/>
    </row>
    <row r="37" spans="4:52">
      <c r="D37" s="461">
        <v>2045</v>
      </c>
      <c r="E37" s="462">
        <f>+SUMIF('Sanitary Debentures'!$V$12:$V$61,D37,'Sanitary Debentures'!$X$12:$Y$61)+SUMIF('Sanitary Debentures'!$K$12:$K$61,D37,'Sanitary Debentures'!$M$12:$N$61)</f>
        <v>377476.26</v>
      </c>
      <c r="F37" s="462">
        <f>+SUMIF('Sanitary Debentures'!$V$12:$V$61,D37,$Z$12:$Z$61)+SUMIF('Sanitary Debentures'!$K$12:$K$61,D37,$O$12:$P$61)</f>
        <v>361535.05</v>
      </c>
      <c r="G37" s="462">
        <f t="shared" si="1"/>
        <v>370564.1200000011</v>
      </c>
      <c r="H37" s="462">
        <f>+SUMIF('Sanitary Debentures'!$V$12:$V$61,D37,$AB$12:$AB$61)+SUMIF('Sanitary Debentures'!$K$12:$K$61,D37,$Q$12:$R$61)</f>
        <v>15941.21</v>
      </c>
      <c r="I37" s="463">
        <f t="shared" si="0"/>
        <v>15941.21</v>
      </c>
      <c r="J37" s="464"/>
      <c r="K37" s="465">
        <v>2032</v>
      </c>
      <c r="L37" s="466">
        <v>26</v>
      </c>
      <c r="M37" s="745">
        <v>294508.65999999997</v>
      </c>
      <c r="N37" s="745"/>
      <c r="O37" s="467">
        <v>218028.09</v>
      </c>
      <c r="P37" s="467"/>
      <c r="Q37" s="745">
        <v>76480.570000000007</v>
      </c>
      <c r="R37" s="745"/>
      <c r="S37" s="745">
        <v>6102680.0499999998</v>
      </c>
      <c r="T37" s="749"/>
      <c r="U37" s="464"/>
      <c r="V37" s="461">
        <v>2034</v>
      </c>
      <c r="W37" s="466">
        <v>26</v>
      </c>
      <c r="X37" s="745">
        <v>188738.13</v>
      </c>
      <c r="Y37" s="745"/>
      <c r="Z37" s="750">
        <v>138659.29999999999</v>
      </c>
      <c r="AA37" s="750"/>
      <c r="AB37" s="745">
        <v>50078.83</v>
      </c>
      <c r="AC37" s="745">
        <v>50078.83</v>
      </c>
      <c r="AD37" s="745">
        <v>3896702.05</v>
      </c>
      <c r="AE37" s="749"/>
      <c r="AZ37" s="468"/>
    </row>
    <row r="38" spans="4:52">
      <c r="D38" s="461">
        <v>2046</v>
      </c>
      <c r="E38" s="462">
        <f>+SUMIF('Sanitary Debentures'!$V$12:$V$61,D38,'Sanitary Debentures'!$X$12:$Y$61)+SUMIF('Sanitary Debentures'!$K$12:$K$61,D38,'Sanitary Debentures'!$M$12:$N$61)</f>
        <v>377476.26</v>
      </c>
      <c r="F38" s="462">
        <f>+SUMIF('Sanitary Debentures'!$V$12:$V$61,D38,$Z$12:$Z$61)+SUMIF('Sanitary Debentures'!$K$12:$K$61,D38,$O$12:$P$61)</f>
        <v>370564.12</v>
      </c>
      <c r="G38" s="462">
        <f t="shared" si="1"/>
        <v>1.1059455573558807E-9</v>
      </c>
      <c r="H38" s="462">
        <f>+SUMIF('Sanitary Debentures'!$V$12:$V$61,D38,$AB$12:$AB$61)+SUMIF('Sanitary Debentures'!$K$12:$K$61,D38,$Q$12:$R$61)</f>
        <v>6912.1399999999994</v>
      </c>
      <c r="I38" s="463">
        <f t="shared" si="0"/>
        <v>6912.1399999999994</v>
      </c>
      <c r="J38" s="464"/>
      <c r="K38" s="465">
        <v>2033</v>
      </c>
      <c r="L38" s="466">
        <v>27</v>
      </c>
      <c r="M38" s="745">
        <v>294508.65999999997</v>
      </c>
      <c r="N38" s="745"/>
      <c r="O38" s="467">
        <v>220666.23</v>
      </c>
      <c r="P38" s="467"/>
      <c r="Q38" s="745">
        <v>73842.429999999993</v>
      </c>
      <c r="R38" s="745"/>
      <c r="S38" s="745">
        <v>5882013.8200000003</v>
      </c>
      <c r="T38" s="749"/>
      <c r="U38" s="464"/>
      <c r="V38" s="461">
        <v>2035</v>
      </c>
      <c r="W38" s="466">
        <v>27</v>
      </c>
      <c r="X38" s="745">
        <v>188738.13</v>
      </c>
      <c r="Y38" s="745"/>
      <c r="Z38" s="750">
        <v>140380.06</v>
      </c>
      <c r="AA38" s="750"/>
      <c r="AB38" s="745">
        <v>48358.07</v>
      </c>
      <c r="AC38" s="745">
        <v>48358.07</v>
      </c>
      <c r="AD38" s="745">
        <v>3756321.99</v>
      </c>
      <c r="AE38" s="749"/>
      <c r="AZ38" s="468"/>
    </row>
    <row r="39" spans="4:52">
      <c r="D39" s="476" t="s">
        <v>10</v>
      </c>
      <c r="E39" s="477">
        <f>SUM(E12:E38)</f>
        <v>24162339.499999993</v>
      </c>
      <c r="F39" s="477"/>
      <c r="G39" s="477"/>
      <c r="H39" s="477">
        <f>SUM(H12:H38)</f>
        <v>6162339.4999999981</v>
      </c>
      <c r="I39" s="478">
        <f>SUM(I12:I38)</f>
        <v>6162339.4999999981</v>
      </c>
      <c r="J39" s="464"/>
      <c r="K39" s="465">
        <v>2033</v>
      </c>
      <c r="L39" s="466">
        <v>28</v>
      </c>
      <c r="M39" s="745">
        <v>294508.65999999997</v>
      </c>
      <c r="N39" s="745"/>
      <c r="O39" s="467">
        <v>223336.29</v>
      </c>
      <c r="P39" s="467"/>
      <c r="Q39" s="745">
        <v>71172.37</v>
      </c>
      <c r="R39" s="745"/>
      <c r="S39" s="745">
        <v>5658677.5300000003</v>
      </c>
      <c r="T39" s="749"/>
      <c r="U39" s="464"/>
      <c r="V39" s="461">
        <v>2035</v>
      </c>
      <c r="W39" s="466">
        <v>28</v>
      </c>
      <c r="X39" s="745">
        <v>188738.13</v>
      </c>
      <c r="Y39" s="745"/>
      <c r="Z39" s="750">
        <v>142122.17000000001</v>
      </c>
      <c r="AA39" s="750"/>
      <c r="AB39" s="745">
        <v>46615.96</v>
      </c>
      <c r="AC39" s="745">
        <v>46615.96</v>
      </c>
      <c r="AD39" s="745">
        <v>3614199.82</v>
      </c>
      <c r="AE39" s="749"/>
      <c r="AZ39" s="468"/>
    </row>
    <row r="40" spans="4:52">
      <c r="D40" s="479"/>
      <c r="E40" s="480"/>
      <c r="F40" s="480"/>
      <c r="G40" s="480"/>
      <c r="H40" s="480"/>
      <c r="I40" s="464"/>
      <c r="J40" s="464"/>
      <c r="K40" s="465">
        <v>2034</v>
      </c>
      <c r="L40" s="466">
        <v>29</v>
      </c>
      <c r="M40" s="745">
        <v>294508.65999999997</v>
      </c>
      <c r="N40" s="745"/>
      <c r="O40" s="467">
        <v>226038.66</v>
      </c>
      <c r="P40" s="467"/>
      <c r="Q40" s="745">
        <v>68470</v>
      </c>
      <c r="R40" s="745"/>
      <c r="S40" s="745">
        <v>5432638.8700000001</v>
      </c>
      <c r="T40" s="749"/>
      <c r="U40" s="464"/>
      <c r="V40" s="461">
        <v>2036</v>
      </c>
      <c r="W40" s="466">
        <v>29</v>
      </c>
      <c r="X40" s="745">
        <v>188738.13</v>
      </c>
      <c r="Y40" s="745"/>
      <c r="Z40" s="750">
        <v>143885.91</v>
      </c>
      <c r="AA40" s="750"/>
      <c r="AB40" s="745">
        <v>44852.22</v>
      </c>
      <c r="AC40" s="745">
        <v>44852.22</v>
      </c>
      <c r="AD40" s="745">
        <v>3470313.91</v>
      </c>
      <c r="AE40" s="749"/>
      <c r="AZ40" s="468"/>
    </row>
    <row r="41" spans="4:52">
      <c r="J41" s="464"/>
      <c r="K41" s="465">
        <v>2034</v>
      </c>
      <c r="L41" s="466">
        <v>30</v>
      </c>
      <c r="M41" s="745">
        <v>294508.65999999997</v>
      </c>
      <c r="N41" s="745"/>
      <c r="O41" s="467">
        <v>228773.73</v>
      </c>
      <c r="P41" s="467"/>
      <c r="Q41" s="745">
        <v>65734.929999999993</v>
      </c>
      <c r="R41" s="745"/>
      <c r="S41" s="745">
        <v>5203865.1399999997</v>
      </c>
      <c r="T41" s="749"/>
      <c r="U41" s="464"/>
      <c r="V41" s="461">
        <v>2036</v>
      </c>
      <c r="W41" s="466">
        <v>30</v>
      </c>
      <c r="X41" s="745">
        <v>188738.13</v>
      </c>
      <c r="Y41" s="745"/>
      <c r="Z41" s="750">
        <v>145671.53</v>
      </c>
      <c r="AA41" s="750"/>
      <c r="AB41" s="745">
        <v>43066.6</v>
      </c>
      <c r="AC41" s="745">
        <v>43066.6</v>
      </c>
      <c r="AD41" s="745">
        <v>3324642.38</v>
      </c>
      <c r="AE41" s="749"/>
      <c r="AZ41" s="468"/>
    </row>
    <row r="42" spans="4:52">
      <c r="J42" s="464"/>
      <c r="K42" s="465">
        <v>2035</v>
      </c>
      <c r="L42" s="466">
        <v>31</v>
      </c>
      <c r="M42" s="745">
        <v>294508.65999999997</v>
      </c>
      <c r="N42" s="745"/>
      <c r="O42" s="467">
        <v>231541.89</v>
      </c>
      <c r="P42" s="467"/>
      <c r="Q42" s="745">
        <v>62966.77</v>
      </c>
      <c r="R42" s="745"/>
      <c r="S42" s="745">
        <v>4972323.25</v>
      </c>
      <c r="T42" s="749"/>
      <c r="U42" s="464"/>
      <c r="V42" s="461">
        <v>2037</v>
      </c>
      <c r="W42" s="466">
        <v>31</v>
      </c>
      <c r="X42" s="745">
        <v>188738.13</v>
      </c>
      <c r="Y42" s="745"/>
      <c r="Z42" s="750">
        <v>147479.32</v>
      </c>
      <c r="AA42" s="750"/>
      <c r="AB42" s="745">
        <v>41258.81</v>
      </c>
      <c r="AC42" s="745">
        <v>41258.81</v>
      </c>
      <c r="AD42" s="745">
        <v>3177163.06</v>
      </c>
      <c r="AE42" s="749"/>
      <c r="AZ42" s="468"/>
    </row>
    <row r="43" spans="4:52">
      <c r="D43" s="479"/>
      <c r="E43" s="480"/>
      <c r="F43" s="480"/>
      <c r="G43" s="480"/>
      <c r="H43" s="480"/>
      <c r="I43" s="464"/>
      <c r="J43" s="464"/>
      <c r="K43" s="465">
        <v>2035</v>
      </c>
      <c r="L43" s="466">
        <v>32</v>
      </c>
      <c r="M43" s="745">
        <v>294508.65999999997</v>
      </c>
      <c r="N43" s="745"/>
      <c r="O43" s="467">
        <v>234343.55</v>
      </c>
      <c r="P43" s="467"/>
      <c r="Q43" s="745">
        <v>60165.11</v>
      </c>
      <c r="R43" s="745"/>
      <c r="S43" s="745">
        <v>4737979.7</v>
      </c>
      <c r="T43" s="749"/>
      <c r="U43" s="464"/>
      <c r="V43" s="461">
        <v>2037</v>
      </c>
      <c r="W43" s="466">
        <v>32</v>
      </c>
      <c r="X43" s="745">
        <v>188738.13</v>
      </c>
      <c r="Y43" s="745"/>
      <c r="Z43" s="750">
        <v>149309.54</v>
      </c>
      <c r="AA43" s="750"/>
      <c r="AB43" s="745">
        <v>39428.589999999997</v>
      </c>
      <c r="AC43" s="745">
        <v>39428.589999999997</v>
      </c>
      <c r="AD43" s="745">
        <v>3027853.52</v>
      </c>
      <c r="AE43" s="749"/>
      <c r="AZ43" s="468"/>
    </row>
    <row r="44" spans="4:52">
      <c r="D44" s="479"/>
      <c r="E44" s="480"/>
      <c r="F44" s="480"/>
      <c r="G44" s="480"/>
      <c r="H44" s="480"/>
      <c r="I44" s="464"/>
      <c r="J44" s="464"/>
      <c r="K44" s="465">
        <v>2036</v>
      </c>
      <c r="L44" s="466">
        <v>33</v>
      </c>
      <c r="M44" s="745">
        <v>294508.65999999997</v>
      </c>
      <c r="N44" s="745"/>
      <c r="O44" s="467">
        <v>237179.11</v>
      </c>
      <c r="P44" s="467"/>
      <c r="Q44" s="745">
        <v>57329.55</v>
      </c>
      <c r="R44" s="745"/>
      <c r="S44" s="745">
        <v>4500800.59</v>
      </c>
      <c r="T44" s="749"/>
      <c r="U44" s="464"/>
      <c r="V44" s="461">
        <v>2038</v>
      </c>
      <c r="W44" s="466">
        <v>33</v>
      </c>
      <c r="X44" s="745">
        <v>188738.13</v>
      </c>
      <c r="Y44" s="745"/>
      <c r="Z44" s="750">
        <v>151162.47</v>
      </c>
      <c r="AA44" s="750"/>
      <c r="AB44" s="745">
        <v>37575.660000000003</v>
      </c>
      <c r="AC44" s="745">
        <v>37575.660000000003</v>
      </c>
      <c r="AD44" s="745">
        <v>2876691.05</v>
      </c>
      <c r="AE44" s="749"/>
      <c r="AZ44" s="468"/>
    </row>
    <row r="45" spans="4:52">
      <c r="D45" s="479"/>
      <c r="E45" s="480"/>
      <c r="F45" s="480"/>
      <c r="G45" s="480"/>
      <c r="H45" s="480"/>
      <c r="I45" s="464"/>
      <c r="J45" s="464"/>
      <c r="K45" s="465">
        <v>2036</v>
      </c>
      <c r="L45" s="466">
        <v>34</v>
      </c>
      <c r="M45" s="745">
        <v>294508.65999999997</v>
      </c>
      <c r="N45" s="745"/>
      <c r="O45" s="467">
        <v>240048.97</v>
      </c>
      <c r="P45" s="467"/>
      <c r="Q45" s="745">
        <v>54459.69</v>
      </c>
      <c r="R45" s="745"/>
      <c r="S45" s="745">
        <v>4260751.62</v>
      </c>
      <c r="T45" s="749"/>
      <c r="U45" s="464"/>
      <c r="V45" s="461">
        <v>2038</v>
      </c>
      <c r="W45" s="466">
        <v>34</v>
      </c>
      <c r="X45" s="745">
        <v>188738.13</v>
      </c>
      <c r="Y45" s="745"/>
      <c r="Z45" s="750">
        <v>153038.39000000001</v>
      </c>
      <c r="AA45" s="750"/>
      <c r="AB45" s="745">
        <v>35699.74</v>
      </c>
      <c r="AC45" s="745">
        <v>35699.74</v>
      </c>
      <c r="AD45" s="745">
        <v>2723652.66</v>
      </c>
      <c r="AE45" s="749"/>
      <c r="AZ45" s="468"/>
    </row>
    <row r="46" spans="4:52">
      <c r="D46" s="479"/>
      <c r="E46" s="480"/>
      <c r="F46" s="480"/>
      <c r="G46" s="480"/>
      <c r="H46" s="480"/>
      <c r="I46" s="464"/>
      <c r="J46" s="464"/>
      <c r="K46" s="465">
        <v>2037</v>
      </c>
      <c r="L46" s="466">
        <v>35</v>
      </c>
      <c r="M46" s="745">
        <v>294508.65999999997</v>
      </c>
      <c r="N46" s="745"/>
      <c r="O46" s="467">
        <v>242953.57</v>
      </c>
      <c r="P46" s="467"/>
      <c r="Q46" s="745">
        <v>51555.09</v>
      </c>
      <c r="R46" s="745"/>
      <c r="S46" s="745">
        <v>4017798.05</v>
      </c>
      <c r="T46" s="749"/>
      <c r="U46" s="464"/>
      <c r="V46" s="461">
        <v>2039</v>
      </c>
      <c r="W46" s="466">
        <v>35</v>
      </c>
      <c r="X46" s="745">
        <v>188738.13</v>
      </c>
      <c r="Y46" s="745"/>
      <c r="Z46" s="750">
        <v>154937.60000000001</v>
      </c>
      <c r="AA46" s="750"/>
      <c r="AB46" s="745">
        <v>33800.53</v>
      </c>
      <c r="AC46" s="745">
        <v>33800.53</v>
      </c>
      <c r="AD46" s="745">
        <v>2568715.06</v>
      </c>
      <c r="AE46" s="749"/>
      <c r="AZ46" s="468"/>
    </row>
    <row r="47" spans="4:52">
      <c r="D47" s="479"/>
      <c r="E47" s="480"/>
      <c r="F47" s="480"/>
      <c r="G47" s="480"/>
      <c r="H47" s="480"/>
      <c r="I47" s="464"/>
      <c r="J47" s="464"/>
      <c r="K47" s="465">
        <v>2037</v>
      </c>
      <c r="L47" s="466">
        <v>36</v>
      </c>
      <c r="M47" s="745">
        <v>294508.65999999997</v>
      </c>
      <c r="N47" s="745"/>
      <c r="O47" s="467">
        <v>245893.3</v>
      </c>
      <c r="P47" s="467"/>
      <c r="Q47" s="745">
        <v>48615.360000000001</v>
      </c>
      <c r="R47" s="745"/>
      <c r="S47" s="745">
        <v>3771904.75</v>
      </c>
      <c r="T47" s="749"/>
      <c r="U47" s="464"/>
      <c r="V47" s="461">
        <v>2039</v>
      </c>
      <c r="W47" s="466">
        <v>36</v>
      </c>
      <c r="X47" s="745">
        <v>188738.13</v>
      </c>
      <c r="Y47" s="745"/>
      <c r="Z47" s="750">
        <v>156860.38</v>
      </c>
      <c r="AA47" s="750"/>
      <c r="AB47" s="745">
        <v>31877.75</v>
      </c>
      <c r="AC47" s="745">
        <v>31877.75</v>
      </c>
      <c r="AD47" s="745">
        <v>2411854.6800000002</v>
      </c>
      <c r="AE47" s="749"/>
      <c r="AZ47" s="468"/>
    </row>
    <row r="48" spans="4:52">
      <c r="D48" s="479"/>
      <c r="E48" s="480"/>
      <c r="F48" s="480"/>
      <c r="G48" s="480"/>
      <c r="H48" s="480"/>
      <c r="I48" s="464"/>
      <c r="J48" s="464"/>
      <c r="K48" s="465">
        <v>2038</v>
      </c>
      <c r="L48" s="466">
        <v>37</v>
      </c>
      <c r="M48" s="745">
        <v>294508.65999999997</v>
      </c>
      <c r="N48" s="745"/>
      <c r="O48" s="467">
        <v>248868.61</v>
      </c>
      <c r="P48" s="467"/>
      <c r="Q48" s="745">
        <v>45640.05</v>
      </c>
      <c r="R48" s="745"/>
      <c r="S48" s="745">
        <v>3523036.14</v>
      </c>
      <c r="T48" s="749"/>
      <c r="U48" s="464"/>
      <c r="V48" s="461">
        <v>2040</v>
      </c>
      <c r="W48" s="466">
        <v>37</v>
      </c>
      <c r="X48" s="745">
        <v>188738.13</v>
      </c>
      <c r="Y48" s="745"/>
      <c r="Z48" s="750">
        <v>158807.01</v>
      </c>
      <c r="AA48" s="750"/>
      <c r="AB48" s="745">
        <v>29931.119999999999</v>
      </c>
      <c r="AC48" s="745">
        <v>29931.119999999999</v>
      </c>
      <c r="AD48" s="745">
        <v>2253047.67</v>
      </c>
      <c r="AE48" s="749"/>
      <c r="AZ48" s="468"/>
    </row>
    <row r="49" spans="4:52">
      <c r="D49" s="479"/>
      <c r="E49" s="480"/>
      <c r="F49" s="480"/>
      <c r="G49" s="480"/>
      <c r="H49" s="480"/>
      <c r="I49" s="464"/>
      <c r="J49" s="464"/>
      <c r="K49" s="465">
        <v>2038</v>
      </c>
      <c r="L49" s="466">
        <v>38</v>
      </c>
      <c r="M49" s="745">
        <v>294508.65999999997</v>
      </c>
      <c r="N49" s="745"/>
      <c r="O49" s="467">
        <v>251879.92</v>
      </c>
      <c r="P49" s="467"/>
      <c r="Q49" s="745">
        <v>42628.74</v>
      </c>
      <c r="R49" s="745"/>
      <c r="S49" s="745">
        <v>3271156.22</v>
      </c>
      <c r="T49" s="749"/>
      <c r="U49" s="464"/>
      <c r="V49" s="461">
        <v>2040</v>
      </c>
      <c r="W49" s="466">
        <v>38</v>
      </c>
      <c r="X49" s="745">
        <v>188738.13</v>
      </c>
      <c r="Y49" s="745"/>
      <c r="Z49" s="750">
        <v>160777.81</v>
      </c>
      <c r="AA49" s="750"/>
      <c r="AB49" s="745">
        <v>27960.32</v>
      </c>
      <c r="AC49" s="745">
        <v>27960.32</v>
      </c>
      <c r="AD49" s="745">
        <v>2092269.86</v>
      </c>
      <c r="AE49" s="749"/>
      <c r="AZ49" s="468"/>
    </row>
    <row r="50" spans="4:52">
      <c r="D50" s="479"/>
      <c r="E50" s="480"/>
      <c r="F50" s="480"/>
      <c r="G50" s="480"/>
      <c r="H50" s="480"/>
      <c r="I50" s="464"/>
      <c r="J50" s="464"/>
      <c r="K50" s="465">
        <v>2039</v>
      </c>
      <c r="L50" s="466">
        <v>39</v>
      </c>
      <c r="M50" s="745">
        <v>294508.65999999997</v>
      </c>
      <c r="N50" s="745"/>
      <c r="O50" s="467">
        <v>254927.67</v>
      </c>
      <c r="P50" s="467"/>
      <c r="Q50" s="745">
        <v>39580.99</v>
      </c>
      <c r="R50" s="745"/>
      <c r="S50" s="745">
        <v>3016228.55</v>
      </c>
      <c r="T50" s="749"/>
      <c r="U50" s="464"/>
      <c r="V50" s="461">
        <v>2041</v>
      </c>
      <c r="W50" s="466">
        <v>39</v>
      </c>
      <c r="X50" s="745">
        <v>188738.13</v>
      </c>
      <c r="Y50" s="745"/>
      <c r="Z50" s="750">
        <v>162773.06</v>
      </c>
      <c r="AA50" s="750"/>
      <c r="AB50" s="745">
        <v>25965.07</v>
      </c>
      <c r="AC50" s="745">
        <v>25965.07</v>
      </c>
      <c r="AD50" s="745">
        <v>1929496.8</v>
      </c>
      <c r="AE50" s="749"/>
      <c r="AZ50" s="468"/>
    </row>
    <row r="51" spans="4:52">
      <c r="D51" s="479"/>
      <c r="E51" s="480"/>
      <c r="F51" s="480"/>
      <c r="G51" s="480"/>
      <c r="H51" s="480"/>
      <c r="I51" s="464"/>
      <c r="J51" s="464"/>
      <c r="K51" s="465">
        <v>2039</v>
      </c>
      <c r="L51" s="466">
        <v>40</v>
      </c>
      <c r="M51" s="745">
        <v>294508.65999999997</v>
      </c>
      <c r="N51" s="745"/>
      <c r="O51" s="467">
        <v>258012.29</v>
      </c>
      <c r="P51" s="467"/>
      <c r="Q51" s="745">
        <v>36496.370000000003</v>
      </c>
      <c r="R51" s="745"/>
      <c r="S51" s="745">
        <v>2758216.26</v>
      </c>
      <c r="T51" s="749"/>
      <c r="U51" s="464"/>
      <c r="V51" s="461">
        <v>2041</v>
      </c>
      <c r="W51" s="466">
        <v>40</v>
      </c>
      <c r="X51" s="745">
        <v>188738.13</v>
      </c>
      <c r="Y51" s="745"/>
      <c r="Z51" s="750">
        <v>164793.07</v>
      </c>
      <c r="AA51" s="750"/>
      <c r="AB51" s="745">
        <v>23945.06</v>
      </c>
      <c r="AC51" s="745">
        <v>23945.06</v>
      </c>
      <c r="AD51" s="745">
        <v>1764703.73</v>
      </c>
      <c r="AE51" s="749"/>
      <c r="AZ51" s="468"/>
    </row>
    <row r="52" spans="4:52">
      <c r="D52" s="479"/>
      <c r="E52" s="480"/>
      <c r="F52" s="480"/>
      <c r="G52" s="480"/>
      <c r="H52" s="480"/>
      <c r="I52" s="464"/>
      <c r="J52" s="464"/>
      <c r="K52" s="465">
        <v>2040</v>
      </c>
      <c r="L52" s="466">
        <v>41</v>
      </c>
      <c r="M52" s="745">
        <v>294508.65999999997</v>
      </c>
      <c r="N52" s="745"/>
      <c r="O52" s="467">
        <v>261134.24</v>
      </c>
      <c r="P52" s="467"/>
      <c r="Q52" s="745">
        <v>33374.42</v>
      </c>
      <c r="R52" s="745"/>
      <c r="S52" s="745">
        <v>2497082.02</v>
      </c>
      <c r="T52" s="749"/>
      <c r="U52" s="464"/>
      <c r="V52" s="461">
        <v>2042</v>
      </c>
      <c r="W52" s="466">
        <v>41</v>
      </c>
      <c r="X52" s="745">
        <v>188738.13</v>
      </c>
      <c r="Y52" s="745"/>
      <c r="Z52" s="750">
        <v>166838.16</v>
      </c>
      <c r="AA52" s="750"/>
      <c r="AB52" s="745">
        <v>21899.97</v>
      </c>
      <c r="AC52" s="745">
        <v>21899.97</v>
      </c>
      <c r="AD52" s="745">
        <v>1597865.57</v>
      </c>
      <c r="AE52" s="749"/>
      <c r="AZ52" s="468"/>
    </row>
    <row r="53" spans="4:52">
      <c r="D53" s="479"/>
      <c r="E53" s="480"/>
      <c r="F53" s="480"/>
      <c r="G53" s="480"/>
      <c r="H53" s="480"/>
      <c r="I53" s="464"/>
      <c r="J53" s="464"/>
      <c r="K53" s="465">
        <v>2040</v>
      </c>
      <c r="L53" s="466">
        <v>42</v>
      </c>
      <c r="M53" s="745">
        <v>294508.65999999997</v>
      </c>
      <c r="N53" s="745"/>
      <c r="O53" s="467">
        <v>264293.96999999997</v>
      </c>
      <c r="P53" s="467"/>
      <c r="Q53" s="745">
        <v>30214.69</v>
      </c>
      <c r="R53" s="745"/>
      <c r="S53" s="745">
        <v>2232788.0499999998</v>
      </c>
      <c r="T53" s="749"/>
      <c r="U53" s="464"/>
      <c r="V53" s="461">
        <v>2042</v>
      </c>
      <c r="W53" s="466">
        <v>42</v>
      </c>
      <c r="X53" s="745">
        <v>188738.13</v>
      </c>
      <c r="Y53" s="745"/>
      <c r="Z53" s="750">
        <v>168908.62</v>
      </c>
      <c r="AA53" s="750"/>
      <c r="AB53" s="745">
        <v>19829.509999999998</v>
      </c>
      <c r="AC53" s="745">
        <v>19829.509999999998</v>
      </c>
      <c r="AD53" s="745">
        <v>1428956.95</v>
      </c>
      <c r="AE53" s="749"/>
      <c r="AZ53" s="468"/>
    </row>
    <row r="54" spans="4:52">
      <c r="D54" s="479"/>
      <c r="E54" s="480"/>
      <c r="F54" s="480"/>
      <c r="G54" s="480"/>
      <c r="H54" s="480"/>
      <c r="I54" s="464"/>
      <c r="J54" s="464"/>
      <c r="K54" s="465">
        <v>2041</v>
      </c>
      <c r="L54" s="466">
        <v>43</v>
      </c>
      <c r="M54" s="745">
        <v>294508.65999999997</v>
      </c>
      <c r="N54" s="745"/>
      <c r="O54" s="467">
        <v>267491.92</v>
      </c>
      <c r="P54" s="467"/>
      <c r="Q54" s="745">
        <v>27016.74</v>
      </c>
      <c r="R54" s="745"/>
      <c r="S54" s="745">
        <v>1965296.13</v>
      </c>
      <c r="T54" s="749"/>
      <c r="U54" s="464"/>
      <c r="V54" s="461">
        <v>2043</v>
      </c>
      <c r="W54" s="466">
        <v>43</v>
      </c>
      <c r="X54" s="745">
        <v>188738.13</v>
      </c>
      <c r="Y54" s="745"/>
      <c r="Z54" s="750">
        <v>171004.77</v>
      </c>
      <c r="AA54" s="750"/>
      <c r="AB54" s="745">
        <v>17733.36</v>
      </c>
      <c r="AC54" s="745">
        <v>17733.36</v>
      </c>
      <c r="AD54" s="745">
        <v>1257952.18</v>
      </c>
      <c r="AE54" s="749"/>
      <c r="AZ54" s="468"/>
    </row>
    <row r="55" spans="4:52">
      <c r="D55" s="479"/>
      <c r="E55" s="480"/>
      <c r="F55" s="480"/>
      <c r="G55" s="480"/>
      <c r="H55" s="480"/>
      <c r="I55" s="464"/>
      <c r="J55" s="464"/>
      <c r="K55" s="465">
        <v>2041</v>
      </c>
      <c r="L55" s="466">
        <v>44</v>
      </c>
      <c r="M55" s="745">
        <v>294508.65999999997</v>
      </c>
      <c r="N55" s="745"/>
      <c r="O55" s="467">
        <v>270728.58</v>
      </c>
      <c r="P55" s="467"/>
      <c r="Q55" s="745">
        <v>23780.080000000002</v>
      </c>
      <c r="R55" s="745"/>
      <c r="S55" s="745">
        <v>1694567.55</v>
      </c>
      <c r="T55" s="749"/>
      <c r="U55" s="464"/>
      <c r="V55" s="461">
        <v>2043</v>
      </c>
      <c r="W55" s="466">
        <v>44</v>
      </c>
      <c r="X55" s="745">
        <v>188738.13</v>
      </c>
      <c r="Y55" s="745"/>
      <c r="Z55" s="750">
        <v>173126.94</v>
      </c>
      <c r="AA55" s="750"/>
      <c r="AB55" s="745">
        <v>15611.19</v>
      </c>
      <c r="AC55" s="745">
        <v>15611.19</v>
      </c>
      <c r="AD55" s="745">
        <v>1084825.24</v>
      </c>
      <c r="AE55" s="749"/>
      <c r="AZ55" s="468"/>
    </row>
    <row r="56" spans="4:52">
      <c r="D56" s="479"/>
      <c r="E56" s="480"/>
      <c r="F56" s="480"/>
      <c r="G56" s="480"/>
      <c r="H56" s="480"/>
      <c r="I56" s="464"/>
      <c r="J56" s="464"/>
      <c r="K56" s="465">
        <v>2042</v>
      </c>
      <c r="L56" s="466">
        <v>45</v>
      </c>
      <c r="M56" s="745">
        <v>294508.65999999997</v>
      </c>
      <c r="N56" s="745"/>
      <c r="O56" s="467">
        <v>274004.39</v>
      </c>
      <c r="P56" s="467"/>
      <c r="Q56" s="745">
        <v>20504.27</v>
      </c>
      <c r="R56" s="745"/>
      <c r="S56" s="745">
        <v>1420563.16</v>
      </c>
      <c r="T56" s="749"/>
      <c r="U56" s="464"/>
      <c r="V56" s="461">
        <v>2044</v>
      </c>
      <c r="W56" s="466">
        <v>45</v>
      </c>
      <c r="X56" s="745">
        <v>188738.13</v>
      </c>
      <c r="Y56" s="745"/>
      <c r="Z56" s="750">
        <v>175275.45</v>
      </c>
      <c r="AA56" s="750"/>
      <c r="AB56" s="745">
        <v>13462.68</v>
      </c>
      <c r="AC56" s="745">
        <v>13462.68</v>
      </c>
      <c r="AD56" s="745">
        <v>909549.79</v>
      </c>
      <c r="AE56" s="749"/>
      <c r="AZ56" s="468"/>
    </row>
    <row r="57" spans="4:52">
      <c r="D57" s="479"/>
      <c r="E57" s="480"/>
      <c r="F57" s="480"/>
      <c r="G57" s="480"/>
      <c r="H57" s="480"/>
      <c r="I57" s="464"/>
      <c r="J57" s="464"/>
      <c r="K57" s="465">
        <v>2042</v>
      </c>
      <c r="L57" s="466">
        <v>46</v>
      </c>
      <c r="M57" s="745">
        <v>294508.65999999997</v>
      </c>
      <c r="N57" s="745"/>
      <c r="O57" s="467">
        <v>277319.84999999998</v>
      </c>
      <c r="P57" s="467"/>
      <c r="Q57" s="745">
        <v>17188.810000000001</v>
      </c>
      <c r="R57" s="745"/>
      <c r="S57" s="745">
        <v>1143243.31</v>
      </c>
      <c r="T57" s="749"/>
      <c r="U57" s="464"/>
      <c r="V57" s="461">
        <v>2044</v>
      </c>
      <c r="W57" s="466">
        <v>46</v>
      </c>
      <c r="X57" s="745">
        <v>188738.13</v>
      </c>
      <c r="Y57" s="745"/>
      <c r="Z57" s="750">
        <v>177450.62</v>
      </c>
      <c r="AA57" s="750"/>
      <c r="AB57" s="745">
        <v>11287.51</v>
      </c>
      <c r="AC57" s="745">
        <v>11287.51</v>
      </c>
      <c r="AD57" s="745">
        <v>732099.17</v>
      </c>
      <c r="AE57" s="749"/>
      <c r="AZ57" s="468"/>
    </row>
    <row r="58" spans="4:52">
      <c r="D58" s="479"/>
      <c r="E58" s="480"/>
      <c r="F58" s="480"/>
      <c r="G58" s="480"/>
      <c r="H58" s="480"/>
      <c r="I58" s="464"/>
      <c r="J58" s="464"/>
      <c r="K58" s="465">
        <v>2043</v>
      </c>
      <c r="L58" s="466">
        <v>47</v>
      </c>
      <c r="M58" s="745">
        <v>294508.65999999997</v>
      </c>
      <c r="N58" s="745"/>
      <c r="O58" s="467">
        <v>280675.42</v>
      </c>
      <c r="P58" s="467"/>
      <c r="Q58" s="745">
        <v>13833.24</v>
      </c>
      <c r="R58" s="745"/>
      <c r="S58" s="745">
        <v>862567.89</v>
      </c>
      <c r="T58" s="749"/>
      <c r="U58" s="464"/>
      <c r="V58" s="461">
        <v>2045</v>
      </c>
      <c r="W58" s="466">
        <v>47</v>
      </c>
      <c r="X58" s="745">
        <v>188738.13</v>
      </c>
      <c r="Y58" s="745"/>
      <c r="Z58" s="750">
        <v>179652.78</v>
      </c>
      <c r="AA58" s="750"/>
      <c r="AB58" s="745">
        <v>9085.35</v>
      </c>
      <c r="AC58" s="745">
        <v>9085.35</v>
      </c>
      <c r="AD58" s="745">
        <v>552446.39</v>
      </c>
      <c r="AE58" s="749"/>
      <c r="AZ58" s="468"/>
    </row>
    <row r="59" spans="4:52">
      <c r="D59" s="479"/>
      <c r="E59" s="480"/>
      <c r="F59" s="480"/>
      <c r="G59" s="480"/>
      <c r="H59" s="480"/>
      <c r="I59" s="464"/>
      <c r="J59" s="464"/>
      <c r="K59" s="465">
        <v>2043</v>
      </c>
      <c r="L59" s="466">
        <v>48</v>
      </c>
      <c r="M59" s="745">
        <v>294508.65999999997</v>
      </c>
      <c r="N59" s="745"/>
      <c r="O59" s="467">
        <v>284071.59000000003</v>
      </c>
      <c r="P59" s="467"/>
      <c r="Q59" s="745">
        <v>10437.07</v>
      </c>
      <c r="R59" s="745"/>
      <c r="S59" s="745">
        <v>578496.30000000005</v>
      </c>
      <c r="T59" s="749"/>
      <c r="U59" s="464"/>
      <c r="V59" s="461">
        <v>2045</v>
      </c>
      <c r="W59" s="466">
        <v>48</v>
      </c>
      <c r="X59" s="745">
        <v>188738.13</v>
      </c>
      <c r="Y59" s="745"/>
      <c r="Z59" s="750">
        <v>181882.27</v>
      </c>
      <c r="AA59" s="750"/>
      <c r="AB59" s="745">
        <v>6855.86</v>
      </c>
      <c r="AC59" s="745">
        <v>6855.86</v>
      </c>
      <c r="AD59" s="745">
        <v>370564.12</v>
      </c>
      <c r="AE59" s="749"/>
      <c r="AZ59" s="468"/>
    </row>
    <row r="60" spans="4:52">
      <c r="D60" s="464"/>
      <c r="E60" s="464"/>
      <c r="F60" s="464"/>
      <c r="G60" s="464"/>
      <c r="H60" s="464"/>
      <c r="I60" s="464"/>
      <c r="J60" s="464"/>
      <c r="K60" s="465">
        <v>2044</v>
      </c>
      <c r="L60" s="466">
        <v>49</v>
      </c>
      <c r="M60" s="745">
        <v>294508.65999999997</v>
      </c>
      <c r="N60" s="745"/>
      <c r="O60" s="467">
        <v>287508.84999999998</v>
      </c>
      <c r="P60" s="467"/>
      <c r="Q60" s="745">
        <v>6999.81</v>
      </c>
      <c r="R60" s="745"/>
      <c r="S60" s="745">
        <v>290987.45</v>
      </c>
      <c r="T60" s="749"/>
      <c r="U60" s="464"/>
      <c r="V60" s="461">
        <v>2046</v>
      </c>
      <c r="W60" s="466">
        <v>49</v>
      </c>
      <c r="X60" s="745">
        <v>188738.13</v>
      </c>
      <c r="Y60" s="745"/>
      <c r="Z60" s="750">
        <v>184139.43</v>
      </c>
      <c r="AA60" s="750"/>
      <c r="AB60" s="745">
        <v>4598.7</v>
      </c>
      <c r="AC60" s="745">
        <v>4598.7</v>
      </c>
      <c r="AD60" s="745">
        <v>186424.69</v>
      </c>
      <c r="AE60" s="749"/>
      <c r="AZ60" s="468"/>
    </row>
    <row r="61" spans="4:52">
      <c r="D61" s="464"/>
      <c r="E61" s="464"/>
      <c r="F61" s="464"/>
      <c r="G61" s="464"/>
      <c r="H61" s="464"/>
      <c r="I61" s="464"/>
      <c r="J61" s="464"/>
      <c r="K61" s="465">
        <v>2044</v>
      </c>
      <c r="L61" s="466">
        <v>50</v>
      </c>
      <c r="M61" s="752">
        <v>294508.65999999997</v>
      </c>
      <c r="N61" s="752"/>
      <c r="O61" s="467">
        <v>290987.45</v>
      </c>
      <c r="P61" s="467"/>
      <c r="Q61" s="752">
        <v>3521.21</v>
      </c>
      <c r="R61" s="752"/>
      <c r="S61" s="752">
        <v>0</v>
      </c>
      <c r="T61" s="763"/>
      <c r="U61" s="464"/>
      <c r="V61" s="461">
        <v>2046</v>
      </c>
      <c r="W61" s="466">
        <v>50</v>
      </c>
      <c r="X61" s="745">
        <v>188738.13</v>
      </c>
      <c r="Y61" s="745"/>
      <c r="Z61" s="750">
        <v>186424.69</v>
      </c>
      <c r="AA61" s="750"/>
      <c r="AB61" s="745">
        <v>2313.44</v>
      </c>
      <c r="AC61" s="745">
        <v>2313.44</v>
      </c>
      <c r="AD61" s="745">
        <v>0</v>
      </c>
      <c r="AE61" s="749"/>
      <c r="AZ61" s="468"/>
    </row>
    <row r="62" spans="4:52">
      <c r="D62" s="464"/>
      <c r="E62" s="464"/>
      <c r="F62" s="464"/>
      <c r="G62" s="464"/>
      <c r="H62" s="464"/>
      <c r="I62" s="464"/>
      <c r="J62" s="464"/>
      <c r="K62" s="481"/>
      <c r="L62" s="482" t="s">
        <v>168</v>
      </c>
      <c r="M62" s="751">
        <v>14725433</v>
      </c>
      <c r="N62" s="751"/>
      <c r="O62" s="483">
        <v>11000000</v>
      </c>
      <c r="P62" s="483"/>
      <c r="Q62" s="753">
        <v>3725433</v>
      </c>
      <c r="R62" s="753"/>
      <c r="S62" s="484"/>
      <c r="T62" s="485"/>
      <c r="U62" s="464"/>
      <c r="V62" s="481"/>
      <c r="W62" s="482" t="s">
        <v>168</v>
      </c>
      <c r="X62" s="751">
        <v>9436906.5</v>
      </c>
      <c r="Y62" s="751"/>
      <c r="Z62" s="483">
        <v>7000000</v>
      </c>
      <c r="AA62" s="483"/>
      <c r="AB62" s="753">
        <v>86920</v>
      </c>
      <c r="AC62" s="753"/>
      <c r="AD62" s="753"/>
      <c r="AE62" s="764"/>
      <c r="AZ62" s="468"/>
    </row>
    <row r="63" spans="4:52">
      <c r="AA63" s="486"/>
      <c r="AZ63" s="468"/>
    </row>
    <row r="64" spans="4:52">
      <c r="AA64" s="486"/>
      <c r="AZ64" s="468"/>
    </row>
    <row r="65" spans="27:52">
      <c r="AA65" s="452"/>
      <c r="AZ65" s="452"/>
    </row>
    <row r="66" spans="27:52">
      <c r="AR66" s="487"/>
      <c r="AS66" s="488"/>
      <c r="AT66" s="488"/>
      <c r="AU66" s="488"/>
      <c r="AV66" s="488"/>
      <c r="AW66" s="488"/>
      <c r="AX66" s="488"/>
      <c r="AY66" s="452"/>
      <c r="AZ66" s="452"/>
    </row>
  </sheetData>
  <mergeCells count="375">
    <mergeCell ref="AD55:AE55"/>
    <mergeCell ref="AD56:AE56"/>
    <mergeCell ref="AD57:AE57"/>
    <mergeCell ref="AD58:AE58"/>
    <mergeCell ref="AD59:AE59"/>
    <mergeCell ref="AD60:AE60"/>
    <mergeCell ref="AD61:AE61"/>
    <mergeCell ref="AD62:AE62"/>
    <mergeCell ref="AD46:AE46"/>
    <mergeCell ref="AD47:AE47"/>
    <mergeCell ref="AD48:AE48"/>
    <mergeCell ref="AD49:AE49"/>
    <mergeCell ref="AD50:AE50"/>
    <mergeCell ref="AD51:AE51"/>
    <mergeCell ref="AD52:AE52"/>
    <mergeCell ref="AD53:AE53"/>
    <mergeCell ref="AD54:AE54"/>
    <mergeCell ref="AD37:AE37"/>
    <mergeCell ref="AD38:AE38"/>
    <mergeCell ref="AD39:AE39"/>
    <mergeCell ref="AD40:AE40"/>
    <mergeCell ref="AD41:AE41"/>
    <mergeCell ref="AD42:AE42"/>
    <mergeCell ref="AD43:AE43"/>
    <mergeCell ref="AD44:AE44"/>
    <mergeCell ref="AD45:AE45"/>
    <mergeCell ref="AD28:AE28"/>
    <mergeCell ref="AD29:AE29"/>
    <mergeCell ref="AD30:AE30"/>
    <mergeCell ref="AD31:AE31"/>
    <mergeCell ref="AD32:AE32"/>
    <mergeCell ref="AD33:AE33"/>
    <mergeCell ref="AD34:AE34"/>
    <mergeCell ref="AD35:AE35"/>
    <mergeCell ref="AD36:AE36"/>
    <mergeCell ref="AB55:AC55"/>
    <mergeCell ref="AB56:AC56"/>
    <mergeCell ref="AB57:AC57"/>
    <mergeCell ref="AB58:AC58"/>
    <mergeCell ref="AB59:AC59"/>
    <mergeCell ref="AB60:AC60"/>
    <mergeCell ref="AB61:AC61"/>
    <mergeCell ref="AB62:AC62"/>
    <mergeCell ref="AD12:AE12"/>
    <mergeCell ref="AD13:AE13"/>
    <mergeCell ref="AD14:AE14"/>
    <mergeCell ref="AD15:AE15"/>
    <mergeCell ref="AD16:AE16"/>
    <mergeCell ref="AD17:AE17"/>
    <mergeCell ref="AD18:AE18"/>
    <mergeCell ref="AD19:AE19"/>
    <mergeCell ref="AD20:AE20"/>
    <mergeCell ref="AD21:AE21"/>
    <mergeCell ref="AD22:AE22"/>
    <mergeCell ref="AD23:AE23"/>
    <mergeCell ref="AD24:AE24"/>
    <mergeCell ref="AD25:AE25"/>
    <mergeCell ref="AD26:AE26"/>
    <mergeCell ref="AD27:AE27"/>
    <mergeCell ref="AB46:AC46"/>
    <mergeCell ref="AB47:AC47"/>
    <mergeCell ref="AB48:AC48"/>
    <mergeCell ref="AB49:AC49"/>
    <mergeCell ref="AB50:AC50"/>
    <mergeCell ref="AB51:AC51"/>
    <mergeCell ref="AB52:AC52"/>
    <mergeCell ref="AB53:AC53"/>
    <mergeCell ref="AB54:AC54"/>
    <mergeCell ref="AB37:AC37"/>
    <mergeCell ref="AB38:AC38"/>
    <mergeCell ref="AB39:AC39"/>
    <mergeCell ref="AB40:AC40"/>
    <mergeCell ref="AB41:AC41"/>
    <mergeCell ref="AB42:AC42"/>
    <mergeCell ref="AB43:AC43"/>
    <mergeCell ref="AB44:AC44"/>
    <mergeCell ref="AB45:AC45"/>
    <mergeCell ref="AB28:AC28"/>
    <mergeCell ref="AB29:AC29"/>
    <mergeCell ref="AB30:AC30"/>
    <mergeCell ref="AB31:AC31"/>
    <mergeCell ref="AB32:AC32"/>
    <mergeCell ref="AB33:AC33"/>
    <mergeCell ref="AB34:AC34"/>
    <mergeCell ref="AB35:AC35"/>
    <mergeCell ref="AB36:AC36"/>
    <mergeCell ref="AB19:AC19"/>
    <mergeCell ref="AB20:AC20"/>
    <mergeCell ref="AB21:AC21"/>
    <mergeCell ref="AB22:AC22"/>
    <mergeCell ref="AB23:AC23"/>
    <mergeCell ref="AB24:AC24"/>
    <mergeCell ref="AB25:AC25"/>
    <mergeCell ref="AB26:AC26"/>
    <mergeCell ref="AB27:AC27"/>
    <mergeCell ref="X19:Y19"/>
    <mergeCell ref="X20:Y20"/>
    <mergeCell ref="X22:Y22"/>
    <mergeCell ref="X23:Y23"/>
    <mergeCell ref="Z12:AA12"/>
    <mergeCell ref="Z13:AA13"/>
    <mergeCell ref="Z19:AA19"/>
    <mergeCell ref="Z22:AA22"/>
    <mergeCell ref="Z23:AA23"/>
    <mergeCell ref="X14:Y14"/>
    <mergeCell ref="Z14:AA14"/>
    <mergeCell ref="X15:Y15"/>
    <mergeCell ref="Z15:AA15"/>
    <mergeCell ref="X18:Y18"/>
    <mergeCell ref="Z18:AA18"/>
    <mergeCell ref="X16:Y16"/>
    <mergeCell ref="Z16:AA16"/>
    <mergeCell ref="X17:Y17"/>
    <mergeCell ref="Z17:AA17"/>
    <mergeCell ref="V8:W8"/>
    <mergeCell ref="X8:Y8"/>
    <mergeCell ref="Z8:AA8"/>
    <mergeCell ref="AB8:AC8"/>
    <mergeCell ref="V5:AE5"/>
    <mergeCell ref="V6:AE6"/>
    <mergeCell ref="AD8:AE8"/>
    <mergeCell ref="S60:T60"/>
    <mergeCell ref="S61:T61"/>
    <mergeCell ref="S52:T52"/>
    <mergeCell ref="S53:T53"/>
    <mergeCell ref="S54:T54"/>
    <mergeCell ref="S55:T55"/>
    <mergeCell ref="S56:T56"/>
    <mergeCell ref="S57:T57"/>
    <mergeCell ref="S58:T58"/>
    <mergeCell ref="S59:T59"/>
    <mergeCell ref="S39:T39"/>
    <mergeCell ref="S40:T40"/>
    <mergeCell ref="S41:T41"/>
    <mergeCell ref="S24:T24"/>
    <mergeCell ref="S25:T25"/>
    <mergeCell ref="S26:T26"/>
    <mergeCell ref="S27:T27"/>
    <mergeCell ref="M11:N11"/>
    <mergeCell ref="K5:T5"/>
    <mergeCell ref="K6:T6"/>
    <mergeCell ref="Q8:R8"/>
    <mergeCell ref="O8:P8"/>
    <mergeCell ref="M8:N8"/>
    <mergeCell ref="K8:L8"/>
    <mergeCell ref="S8:T8"/>
    <mergeCell ref="S51:T51"/>
    <mergeCell ref="S42:T42"/>
    <mergeCell ref="S43:T43"/>
    <mergeCell ref="S44:T44"/>
    <mergeCell ref="S45:T45"/>
    <mergeCell ref="S46:T46"/>
    <mergeCell ref="S47:T47"/>
    <mergeCell ref="S48:T48"/>
    <mergeCell ref="S49:T49"/>
    <mergeCell ref="S50:T50"/>
    <mergeCell ref="S33:T33"/>
    <mergeCell ref="S34:T34"/>
    <mergeCell ref="S35:T35"/>
    <mergeCell ref="S36:T36"/>
    <mergeCell ref="S37:T37"/>
    <mergeCell ref="S38:T38"/>
    <mergeCell ref="S28:T28"/>
    <mergeCell ref="S29:T29"/>
    <mergeCell ref="S30:T30"/>
    <mergeCell ref="S31:T31"/>
    <mergeCell ref="S32:T32"/>
    <mergeCell ref="S15:T15"/>
    <mergeCell ref="S16:T16"/>
    <mergeCell ref="S17:T17"/>
    <mergeCell ref="S18:T18"/>
    <mergeCell ref="S19:T19"/>
    <mergeCell ref="S20:T20"/>
    <mergeCell ref="S21:T21"/>
    <mergeCell ref="S22:T22"/>
    <mergeCell ref="S23:T23"/>
    <mergeCell ref="Q59:R59"/>
    <mergeCell ref="Q60:R60"/>
    <mergeCell ref="Q61:R61"/>
    <mergeCell ref="Q62:R62"/>
    <mergeCell ref="M62:N62"/>
    <mergeCell ref="M56:N56"/>
    <mergeCell ref="M57:N57"/>
    <mergeCell ref="M58:N58"/>
    <mergeCell ref="M59:N59"/>
    <mergeCell ref="M60:N60"/>
    <mergeCell ref="M61:N61"/>
    <mergeCell ref="Q50:R50"/>
    <mergeCell ref="Q51:R51"/>
    <mergeCell ref="Q52:R52"/>
    <mergeCell ref="Q53:R53"/>
    <mergeCell ref="Q54:R54"/>
    <mergeCell ref="Q55:R55"/>
    <mergeCell ref="Q56:R56"/>
    <mergeCell ref="Q57:R57"/>
    <mergeCell ref="Q58:R58"/>
    <mergeCell ref="Q41:R41"/>
    <mergeCell ref="Q42:R42"/>
    <mergeCell ref="Q43:R43"/>
    <mergeCell ref="Q44:R44"/>
    <mergeCell ref="Q45:R45"/>
    <mergeCell ref="Q46:R46"/>
    <mergeCell ref="Q47:R47"/>
    <mergeCell ref="Q48:R48"/>
    <mergeCell ref="Q49:R49"/>
    <mergeCell ref="Q32:R32"/>
    <mergeCell ref="Q33:R33"/>
    <mergeCell ref="Q34:R34"/>
    <mergeCell ref="Q35:R35"/>
    <mergeCell ref="Q36:R36"/>
    <mergeCell ref="Q37:R37"/>
    <mergeCell ref="Q38:R38"/>
    <mergeCell ref="Q39:R39"/>
    <mergeCell ref="Q40:R40"/>
    <mergeCell ref="Q11:R11"/>
    <mergeCell ref="Q12:R12"/>
    <mergeCell ref="Q13:R13"/>
    <mergeCell ref="Q14:R14"/>
    <mergeCell ref="Q15:R15"/>
    <mergeCell ref="Q16:R16"/>
    <mergeCell ref="Q17:R17"/>
    <mergeCell ref="Q18:R18"/>
    <mergeCell ref="Q19:R19"/>
    <mergeCell ref="Q20:R20"/>
    <mergeCell ref="Q21:R21"/>
    <mergeCell ref="Q22:R22"/>
    <mergeCell ref="Q23:R23"/>
    <mergeCell ref="Q24:R24"/>
    <mergeCell ref="Q25:R25"/>
    <mergeCell ref="Q26:R26"/>
    <mergeCell ref="Q27:R27"/>
    <mergeCell ref="M55:N55"/>
    <mergeCell ref="M54:N54"/>
    <mergeCell ref="M34:N34"/>
    <mergeCell ref="M35:N35"/>
    <mergeCell ref="M36:N36"/>
    <mergeCell ref="M21:N21"/>
    <mergeCell ref="M22:N22"/>
    <mergeCell ref="M23:N23"/>
    <mergeCell ref="M24:N24"/>
    <mergeCell ref="M25:N25"/>
    <mergeCell ref="M26:N26"/>
    <mergeCell ref="M27:N27"/>
    <mergeCell ref="Q28:R28"/>
    <mergeCell ref="Q29:R29"/>
    <mergeCell ref="Q30:R30"/>
    <mergeCell ref="Q31:R31"/>
    <mergeCell ref="O11:P11"/>
    <mergeCell ref="M46:N46"/>
    <mergeCell ref="M47:N47"/>
    <mergeCell ref="M48:N48"/>
    <mergeCell ref="M49:N49"/>
    <mergeCell ref="M50:N50"/>
    <mergeCell ref="M51:N51"/>
    <mergeCell ref="M52:N52"/>
    <mergeCell ref="M53:N53"/>
    <mergeCell ref="M37:N37"/>
    <mergeCell ref="M38:N38"/>
    <mergeCell ref="M39:N39"/>
    <mergeCell ref="M40:N40"/>
    <mergeCell ref="M41:N41"/>
    <mergeCell ref="M42:N42"/>
    <mergeCell ref="M43:N43"/>
    <mergeCell ref="M44:N44"/>
    <mergeCell ref="M45:N45"/>
    <mergeCell ref="M28:N28"/>
    <mergeCell ref="M29:N29"/>
    <mergeCell ref="M30:N30"/>
    <mergeCell ref="M31:N31"/>
    <mergeCell ref="M32:N32"/>
    <mergeCell ref="M33:N33"/>
    <mergeCell ref="M12:N12"/>
    <mergeCell ref="M13:N13"/>
    <mergeCell ref="M14:N14"/>
    <mergeCell ref="M15:N15"/>
    <mergeCell ref="M16:N16"/>
    <mergeCell ref="M17:N17"/>
    <mergeCell ref="M18:N18"/>
    <mergeCell ref="M19:N19"/>
    <mergeCell ref="M20:N20"/>
    <mergeCell ref="X62:Y62"/>
    <mergeCell ref="X60:Y60"/>
    <mergeCell ref="Z60:AA60"/>
    <mergeCell ref="X61:Y61"/>
    <mergeCell ref="Z61:AA61"/>
    <mergeCell ref="X58:Y58"/>
    <mergeCell ref="Z58:AA58"/>
    <mergeCell ref="X59:Y59"/>
    <mergeCell ref="Z59:AA59"/>
    <mergeCell ref="X56:Y56"/>
    <mergeCell ref="Z56:AA56"/>
    <mergeCell ref="X57:Y57"/>
    <mergeCell ref="Z57:AA57"/>
    <mergeCell ref="X54:Y54"/>
    <mergeCell ref="Z54:AA54"/>
    <mergeCell ref="X55:Y55"/>
    <mergeCell ref="Z55:AA55"/>
    <mergeCell ref="X52:Y52"/>
    <mergeCell ref="Z52:AA52"/>
    <mergeCell ref="X53:Y53"/>
    <mergeCell ref="Z53:AA53"/>
    <mergeCell ref="X50:Y50"/>
    <mergeCell ref="Z50:AA50"/>
    <mergeCell ref="X51:Y51"/>
    <mergeCell ref="Z51:AA51"/>
    <mergeCell ref="X48:Y48"/>
    <mergeCell ref="Z48:AA48"/>
    <mergeCell ref="X49:Y49"/>
    <mergeCell ref="Z49:AA49"/>
    <mergeCell ref="X46:Y46"/>
    <mergeCell ref="Z46:AA46"/>
    <mergeCell ref="X47:Y47"/>
    <mergeCell ref="Z47:AA47"/>
    <mergeCell ref="X44:Y44"/>
    <mergeCell ref="Z44:AA44"/>
    <mergeCell ref="X45:Y45"/>
    <mergeCell ref="Z45:AA45"/>
    <mergeCell ref="X42:Y42"/>
    <mergeCell ref="Z42:AA42"/>
    <mergeCell ref="X43:Y43"/>
    <mergeCell ref="Z43:AA43"/>
    <mergeCell ref="X40:Y40"/>
    <mergeCell ref="Z40:AA40"/>
    <mergeCell ref="X41:Y41"/>
    <mergeCell ref="Z41:AA41"/>
    <mergeCell ref="X38:Y38"/>
    <mergeCell ref="Z38:AA38"/>
    <mergeCell ref="X39:Y39"/>
    <mergeCell ref="Z39:AA39"/>
    <mergeCell ref="X36:Y36"/>
    <mergeCell ref="Z36:AA36"/>
    <mergeCell ref="X37:Y37"/>
    <mergeCell ref="Z37:AA37"/>
    <mergeCell ref="X34:Y34"/>
    <mergeCell ref="Z34:AA34"/>
    <mergeCell ref="X35:Y35"/>
    <mergeCell ref="Z35:AA35"/>
    <mergeCell ref="X32:Y32"/>
    <mergeCell ref="Z32:AA32"/>
    <mergeCell ref="X33:Y33"/>
    <mergeCell ref="Z33:AA33"/>
    <mergeCell ref="X30:Y30"/>
    <mergeCell ref="Z30:AA30"/>
    <mergeCell ref="X31:Y31"/>
    <mergeCell ref="Z31:AA31"/>
    <mergeCell ref="X28:Y28"/>
    <mergeCell ref="Z28:AA28"/>
    <mergeCell ref="X29:Y29"/>
    <mergeCell ref="Z29:AA29"/>
    <mergeCell ref="X27:Y27"/>
    <mergeCell ref="Z27:AA27"/>
    <mergeCell ref="X24:Y24"/>
    <mergeCell ref="Z24:AA24"/>
    <mergeCell ref="X25:Y25"/>
    <mergeCell ref="Z25:AA25"/>
    <mergeCell ref="Z20:AA20"/>
    <mergeCell ref="X21:Y21"/>
    <mergeCell ref="Z21:AA21"/>
    <mergeCell ref="X26:Y26"/>
    <mergeCell ref="Z26:AA26"/>
    <mergeCell ref="AB15:AC15"/>
    <mergeCell ref="AB16:AC16"/>
    <mergeCell ref="AB17:AC17"/>
    <mergeCell ref="AB18:AC18"/>
    <mergeCell ref="BB18:BC18"/>
    <mergeCell ref="S11:T11"/>
    <mergeCell ref="S12:T12"/>
    <mergeCell ref="S13:T13"/>
    <mergeCell ref="S14:T14"/>
    <mergeCell ref="X11:Y11"/>
    <mergeCell ref="X12:Y12"/>
    <mergeCell ref="X13:Y13"/>
    <mergeCell ref="AB12:AC12"/>
    <mergeCell ref="AB13:AC13"/>
    <mergeCell ref="AB14:AC14"/>
  </mergeCells>
  <pageMargins left="0.7" right="0.7" top="0.75" bottom="0.75" header="0.3" footer="0.3"/>
  <pageSetup orientation="portrait" r:id="rId1"/>
  <ignoredErrors>
    <ignoredError sqref="G14" formula="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633A78-5709-4F7F-9207-D13184581B3A}">
  <sheetPr codeName="Sheet8">
    <tabColor theme="0" tint="-0.14999847407452621"/>
  </sheetPr>
  <dimension ref="A2:U124"/>
  <sheetViews>
    <sheetView showGridLines="0" zoomScale="70" zoomScaleNormal="70" workbookViewId="0">
      <selection activeCell="T17" sqref="T17"/>
    </sheetView>
  </sheetViews>
  <sheetFormatPr defaultColWidth="8.5546875" defaultRowHeight="15" customHeight="1"/>
  <cols>
    <col min="1" max="1" width="75.44140625" style="13" customWidth="1"/>
    <col min="2" max="2" width="14.5546875" style="60" customWidth="1"/>
    <col min="3" max="3" width="22.109375" style="60" customWidth="1"/>
    <col min="4" max="4" width="23.21875" style="60" customWidth="1"/>
    <col min="5" max="5" width="15.44140625" style="60" customWidth="1"/>
    <col min="6" max="6" width="14.88671875" style="60" customWidth="1"/>
    <col min="7" max="12" width="14.5546875" style="60" customWidth="1"/>
    <col min="13" max="13" width="8.88671875" style="60" customWidth="1"/>
    <col min="14" max="14" width="17.109375" style="60" customWidth="1"/>
    <col min="15" max="15" width="16.109375" style="60" customWidth="1"/>
    <col min="16" max="16" width="3.109375" style="60" customWidth="1"/>
    <col min="17" max="17" width="31.88671875" style="57" customWidth="1"/>
    <col min="18" max="18" width="17.5546875" style="57" customWidth="1"/>
    <col min="19" max="19" width="29.44140625" style="13" customWidth="1"/>
    <col min="20" max="20" width="64.5546875" style="13" customWidth="1"/>
    <col min="21" max="21" width="39.21875" style="13" customWidth="1"/>
    <col min="22" max="16384" width="8.5546875" style="13"/>
  </cols>
  <sheetData>
    <row r="2" spans="2:19" ht="15" customHeight="1" thickBot="1"/>
    <row r="3" spans="2:19" ht="30" customHeight="1" thickBot="1">
      <c r="B3" s="205" t="s">
        <v>185</v>
      </c>
      <c r="Q3" s="489" t="s">
        <v>268</v>
      </c>
      <c r="R3" s="666">
        <f>'2026 Collections Summary'!$D$15</f>
        <v>18.475999999999999</v>
      </c>
    </row>
    <row r="4" spans="2:19" ht="15" customHeight="1" thickBot="1">
      <c r="B4" s="16" t="s">
        <v>186</v>
      </c>
      <c r="R4" s="356"/>
    </row>
    <row r="5" spans="2:19" ht="15" hidden="1" customHeight="1"/>
    <row r="6" spans="2:19" ht="15" hidden="1" customHeight="1" thickBot="1">
      <c r="R6" s="352" t="s">
        <v>207</v>
      </c>
      <c r="S6" s="353"/>
    </row>
    <row r="7" spans="2:19" ht="15" hidden="1" customHeight="1">
      <c r="R7" s="383">
        <f>SUM(R15:R124)</f>
        <v>715.79154293092313</v>
      </c>
      <c r="S7" s="384">
        <f t="shared" ref="S7" si="0">SUM(S15:S124)</f>
        <v>714.50000000000011</v>
      </c>
    </row>
    <row r="8" spans="2:19" ht="15" hidden="1" customHeight="1" thickBot="1">
      <c r="R8" s="385">
        <f>R14</f>
        <v>715.79154293092313</v>
      </c>
      <c r="S8" s="386">
        <f t="shared" ref="S8" si="1">S14</f>
        <v>714.50000000000011</v>
      </c>
    </row>
    <row r="9" spans="2:19" ht="12.75" hidden="1" customHeight="1"/>
    <row r="10" spans="2:19" ht="15" hidden="1" customHeight="1" thickBot="1"/>
    <row r="11" spans="2:19" ht="60" customHeight="1" thickBot="1">
      <c r="B11" s="768" t="s">
        <v>271</v>
      </c>
      <c r="C11" s="769"/>
      <c r="D11" s="769"/>
      <c r="E11" s="769"/>
      <c r="F11" s="769"/>
      <c r="G11" s="769"/>
      <c r="H11" s="769"/>
      <c r="I11" s="769"/>
      <c r="J11" s="769"/>
      <c r="K11" s="769"/>
      <c r="L11" s="770"/>
      <c r="M11" s="201"/>
      <c r="N11" s="773" t="s">
        <v>270</v>
      </c>
      <c r="O11" s="774"/>
      <c r="P11" s="201"/>
      <c r="Q11" s="765" t="s">
        <v>188</v>
      </c>
      <c r="R11" s="766"/>
      <c r="S11" s="767"/>
    </row>
    <row r="12" spans="2:19" ht="44.25" customHeight="1" thickBot="1">
      <c r="B12" s="209" t="s">
        <v>9</v>
      </c>
      <c r="C12" s="158" t="s">
        <v>29</v>
      </c>
      <c r="D12" s="158" t="s">
        <v>151</v>
      </c>
      <c r="E12" s="158" t="s">
        <v>30</v>
      </c>
      <c r="F12" s="158" t="s">
        <v>148</v>
      </c>
      <c r="G12" s="158" t="s">
        <v>149</v>
      </c>
      <c r="H12" s="158" t="s">
        <v>150</v>
      </c>
      <c r="I12" s="158" t="s">
        <v>45</v>
      </c>
      <c r="J12" s="158" t="s">
        <v>46</v>
      </c>
      <c r="K12" s="158" t="s">
        <v>22</v>
      </c>
      <c r="L12" s="210" t="s">
        <v>44</v>
      </c>
      <c r="M12" s="202"/>
      <c r="N12" s="771" t="s">
        <v>229</v>
      </c>
      <c r="O12" s="772"/>
      <c r="P12" s="202"/>
      <c r="Q12" s="206" t="s">
        <v>116</v>
      </c>
      <c r="R12" s="207" t="s">
        <v>117</v>
      </c>
      <c r="S12" s="376" t="s">
        <v>187</v>
      </c>
    </row>
    <row r="13" spans="2:19" ht="51.75" customHeight="1" thickBot="1">
      <c r="B13" s="172"/>
      <c r="C13" s="159"/>
      <c r="D13" s="160"/>
      <c r="E13" s="160"/>
      <c r="F13" s="160"/>
      <c r="G13" s="161"/>
      <c r="H13" s="161"/>
      <c r="I13" s="161"/>
      <c r="J13" s="161"/>
      <c r="K13" s="59"/>
      <c r="L13" s="173"/>
      <c r="M13" s="203"/>
      <c r="N13" s="490" t="s">
        <v>230</v>
      </c>
      <c r="O13" s="491" t="s">
        <v>139</v>
      </c>
      <c r="P13" s="203"/>
      <c r="Q13" s="208"/>
      <c r="R13" s="204"/>
      <c r="S13" s="377"/>
    </row>
    <row r="14" spans="2:19" ht="51" customHeight="1" thickBot="1">
      <c r="B14" s="211">
        <v>2025</v>
      </c>
      <c r="C14" s="212">
        <f>(D15-D14)/D14</f>
        <v>4.6263664058299979E-2</v>
      </c>
      <c r="D14" s="213">
        <v>33482</v>
      </c>
      <c r="E14" s="213">
        <v>1549</v>
      </c>
      <c r="F14" s="213">
        <v>934</v>
      </c>
      <c r="G14" s="214">
        <v>19.03</v>
      </c>
      <c r="H14" s="214">
        <v>9.5500000000000007</v>
      </c>
      <c r="I14" s="214">
        <f>+G14+I13</f>
        <v>19.03</v>
      </c>
      <c r="J14" s="214">
        <f>+H14+J13</f>
        <v>9.5500000000000007</v>
      </c>
      <c r="K14" s="215">
        <f t="shared" ref="K14:K77" si="2">ROUND(G14+H14,2)</f>
        <v>28.58</v>
      </c>
      <c r="L14" s="216">
        <v>0</v>
      </c>
      <c r="M14" s="203"/>
      <c r="N14" s="327">
        <v>0</v>
      </c>
      <c r="O14" s="328">
        <v>0</v>
      </c>
      <c r="P14" s="321"/>
      <c r="Q14" s="358" t="s">
        <v>269</v>
      </c>
      <c r="R14" s="319">
        <v>715.79154293092313</v>
      </c>
      <c r="S14" s="378">
        <v>714.50000000000011</v>
      </c>
    </row>
    <row r="15" spans="2:19" ht="15" customHeight="1">
      <c r="B15" s="166">
        <v>2026</v>
      </c>
      <c r="C15" s="167">
        <f t="shared" ref="C15:C76" si="3">(D16-D15)/D15</f>
        <v>4.4217978362022209E-2</v>
      </c>
      <c r="D15" s="168">
        <f>E15+D14</f>
        <v>35031</v>
      </c>
      <c r="E15" s="168">
        <f t="shared" ref="E15:E78" si="4">+E14</f>
        <v>1549</v>
      </c>
      <c r="F15" s="168">
        <v>934</v>
      </c>
      <c r="G15" s="169">
        <v>19.03</v>
      </c>
      <c r="H15" s="169">
        <v>9.5500000000000007</v>
      </c>
      <c r="I15" s="169">
        <f t="shared" ref="I15:J29" si="5">+G15+I14</f>
        <v>38.06</v>
      </c>
      <c r="J15" s="169">
        <f t="shared" si="5"/>
        <v>19.100000000000001</v>
      </c>
      <c r="K15" s="170">
        <f>ROUND(G15+H15,2)</f>
        <v>28.58</v>
      </c>
      <c r="L15" s="171">
        <f t="shared" ref="L15:L78" si="6">+K15+L14</f>
        <v>28.58</v>
      </c>
      <c r="M15" s="203"/>
      <c r="N15" s="338">
        <f>R3</f>
        <v>18.475999999999999</v>
      </c>
      <c r="O15" s="324">
        <f>N15</f>
        <v>18.475999999999999</v>
      </c>
      <c r="P15" s="203"/>
      <c r="Q15" s="166">
        <v>2026</v>
      </c>
      <c r="R15" s="337">
        <f t="shared" ref="R15:R45" si="7">IF($R$14&gt;O15,N15,IF($R$14-O14&gt;0,$R$14-O14,0))</f>
        <v>18.475999999999999</v>
      </c>
      <c r="S15" s="379">
        <f>IF($S$14&gt;O15,N15,IF($S$14-O14&gt;0,$S$14-O14,0))</f>
        <v>18.475999999999999</v>
      </c>
    </row>
    <row r="16" spans="2:19" ht="15" customHeight="1">
      <c r="B16" s="172">
        <v>2027</v>
      </c>
      <c r="C16" s="159">
        <f t="shared" si="3"/>
        <v>4.2345544013121926E-2</v>
      </c>
      <c r="D16" s="160">
        <f>E16+D15</f>
        <v>36580</v>
      </c>
      <c r="E16" s="160">
        <f t="shared" si="4"/>
        <v>1549</v>
      </c>
      <c r="F16" s="160">
        <v>934</v>
      </c>
      <c r="G16" s="161">
        <v>19.03</v>
      </c>
      <c r="H16" s="161">
        <v>9.5500000000000007</v>
      </c>
      <c r="I16" s="161">
        <f t="shared" si="5"/>
        <v>57.09</v>
      </c>
      <c r="J16" s="161">
        <f t="shared" si="5"/>
        <v>28.650000000000002</v>
      </c>
      <c r="K16" s="59">
        <f t="shared" si="2"/>
        <v>28.58</v>
      </c>
      <c r="L16" s="173">
        <f t="shared" si="6"/>
        <v>57.16</v>
      </c>
      <c r="M16" s="203"/>
      <c r="N16" s="325">
        <f>K16</f>
        <v>28.58</v>
      </c>
      <c r="O16" s="322">
        <f>N16+O15</f>
        <v>47.055999999999997</v>
      </c>
      <c r="P16" s="203"/>
      <c r="Q16" s="172">
        <v>2027</v>
      </c>
      <c r="R16" s="242">
        <f t="shared" si="7"/>
        <v>28.58</v>
      </c>
      <c r="S16" s="380">
        <f t="shared" ref="S16:S79" si="8">IF($S$14&gt;O16,N16,IF($S$14-O15&gt;0,$S$14-O15,0))</f>
        <v>28.58</v>
      </c>
    </row>
    <row r="17" spans="1:19" ht="15" customHeight="1">
      <c r="B17" s="172">
        <v>2028</v>
      </c>
      <c r="C17" s="159">
        <f>(D18-D17)/D17</f>
        <v>4.0625245875842535E-2</v>
      </c>
      <c r="D17" s="160">
        <f t="shared" ref="D17:D77" si="9">E17+D16</f>
        <v>38129</v>
      </c>
      <c r="E17" s="160">
        <f t="shared" si="4"/>
        <v>1549</v>
      </c>
      <c r="F17" s="160">
        <v>934</v>
      </c>
      <c r="G17" s="161">
        <v>19.03</v>
      </c>
      <c r="H17" s="161">
        <v>9.5500000000000007</v>
      </c>
      <c r="I17" s="161">
        <f t="shared" si="5"/>
        <v>76.12</v>
      </c>
      <c r="J17" s="161">
        <f t="shared" si="5"/>
        <v>38.200000000000003</v>
      </c>
      <c r="K17" s="59">
        <f t="shared" si="2"/>
        <v>28.58</v>
      </c>
      <c r="L17" s="173">
        <f t="shared" si="6"/>
        <v>85.74</v>
      </c>
      <c r="M17" s="203"/>
      <c r="N17" s="325">
        <f t="shared" ref="N17:N80" si="10">K17</f>
        <v>28.58</v>
      </c>
      <c r="O17" s="322">
        <f t="shared" ref="O17:O80" si="11">N17+O16</f>
        <v>75.635999999999996</v>
      </c>
      <c r="P17" s="203"/>
      <c r="Q17" s="172">
        <v>2028</v>
      </c>
      <c r="R17" s="242">
        <f t="shared" si="7"/>
        <v>28.58</v>
      </c>
      <c r="S17" s="380">
        <f t="shared" si="8"/>
        <v>28.58</v>
      </c>
    </row>
    <row r="18" spans="1:19" ht="15" customHeight="1">
      <c r="B18" s="172">
        <v>2029</v>
      </c>
      <c r="C18" s="159">
        <f t="shared" si="3"/>
        <v>3.9039266092040927E-2</v>
      </c>
      <c r="D18" s="160">
        <f t="shared" si="9"/>
        <v>39678</v>
      </c>
      <c r="E18" s="160">
        <f t="shared" si="4"/>
        <v>1549</v>
      </c>
      <c r="F18" s="160">
        <v>934</v>
      </c>
      <c r="G18" s="161">
        <v>19.03</v>
      </c>
      <c r="H18" s="161">
        <v>9.5500000000000007</v>
      </c>
      <c r="I18" s="161">
        <f t="shared" si="5"/>
        <v>95.15</v>
      </c>
      <c r="J18" s="161">
        <f t="shared" si="5"/>
        <v>47.75</v>
      </c>
      <c r="K18" s="59">
        <f t="shared" si="2"/>
        <v>28.58</v>
      </c>
      <c r="L18" s="173">
        <f t="shared" si="6"/>
        <v>114.32</v>
      </c>
      <c r="M18" s="203"/>
      <c r="N18" s="325">
        <f t="shared" si="10"/>
        <v>28.58</v>
      </c>
      <c r="O18" s="322">
        <f t="shared" si="11"/>
        <v>104.21599999999999</v>
      </c>
      <c r="P18" s="203"/>
      <c r="Q18" s="172">
        <v>2029</v>
      </c>
      <c r="R18" s="242">
        <f t="shared" si="7"/>
        <v>28.58</v>
      </c>
      <c r="S18" s="380">
        <f t="shared" si="8"/>
        <v>28.58</v>
      </c>
    </row>
    <row r="19" spans="1:19" ht="15" customHeight="1">
      <c r="B19" s="172">
        <v>2030</v>
      </c>
      <c r="C19" s="159">
        <f t="shared" si="3"/>
        <v>3.7572464646954663E-2</v>
      </c>
      <c r="D19" s="160">
        <f t="shared" si="9"/>
        <v>41227</v>
      </c>
      <c r="E19" s="160">
        <f t="shared" si="4"/>
        <v>1549</v>
      </c>
      <c r="F19" s="160">
        <v>934</v>
      </c>
      <c r="G19" s="161">
        <v>19.03</v>
      </c>
      <c r="H19" s="161">
        <v>9.5500000000000007</v>
      </c>
      <c r="I19" s="161">
        <f t="shared" si="5"/>
        <v>114.18</v>
      </c>
      <c r="J19" s="161">
        <f t="shared" si="5"/>
        <v>57.3</v>
      </c>
      <c r="K19" s="59">
        <f t="shared" si="2"/>
        <v>28.58</v>
      </c>
      <c r="L19" s="173">
        <f t="shared" si="6"/>
        <v>142.89999999999998</v>
      </c>
      <c r="M19" s="203"/>
      <c r="N19" s="325">
        <f t="shared" si="10"/>
        <v>28.58</v>
      </c>
      <c r="O19" s="322">
        <f t="shared" si="11"/>
        <v>132.79599999999999</v>
      </c>
      <c r="P19" s="203"/>
      <c r="Q19" s="172">
        <v>2030</v>
      </c>
      <c r="R19" s="242">
        <f t="shared" si="7"/>
        <v>28.58</v>
      </c>
      <c r="S19" s="380">
        <f t="shared" si="8"/>
        <v>28.58</v>
      </c>
    </row>
    <row r="20" spans="1:19" ht="15" customHeight="1">
      <c r="B20" s="172">
        <v>2031</v>
      </c>
      <c r="C20" s="159">
        <f>(D21-D20)/D20</f>
        <v>3.6211894520291756E-2</v>
      </c>
      <c r="D20" s="160">
        <f t="shared" si="9"/>
        <v>42776</v>
      </c>
      <c r="E20" s="160">
        <f t="shared" si="4"/>
        <v>1549</v>
      </c>
      <c r="F20" s="160">
        <v>934</v>
      </c>
      <c r="G20" s="161">
        <v>19.03</v>
      </c>
      <c r="H20" s="161">
        <v>9.5500000000000007</v>
      </c>
      <c r="I20" s="161">
        <f t="shared" si="5"/>
        <v>133.21</v>
      </c>
      <c r="J20" s="161">
        <f t="shared" si="5"/>
        <v>66.849999999999994</v>
      </c>
      <c r="K20" s="59">
        <f t="shared" si="2"/>
        <v>28.58</v>
      </c>
      <c r="L20" s="173">
        <f t="shared" si="6"/>
        <v>171.47999999999996</v>
      </c>
      <c r="M20" s="203"/>
      <c r="N20" s="325">
        <f t="shared" si="10"/>
        <v>28.58</v>
      </c>
      <c r="O20" s="322">
        <f t="shared" si="11"/>
        <v>161.37599999999998</v>
      </c>
      <c r="P20" s="203"/>
      <c r="Q20" s="172">
        <v>2031</v>
      </c>
      <c r="R20" s="242">
        <f t="shared" si="7"/>
        <v>28.58</v>
      </c>
      <c r="S20" s="380">
        <f t="shared" si="8"/>
        <v>28.58</v>
      </c>
    </row>
    <row r="21" spans="1:19" ht="15" customHeight="1">
      <c r="B21" s="172">
        <v>2032</v>
      </c>
      <c r="C21" s="159">
        <f t="shared" si="3"/>
        <v>3.4946418499717989E-2</v>
      </c>
      <c r="D21" s="160">
        <f t="shared" si="9"/>
        <v>44325</v>
      </c>
      <c r="E21" s="160">
        <f t="shared" si="4"/>
        <v>1549</v>
      </c>
      <c r="F21" s="160">
        <v>934</v>
      </c>
      <c r="G21" s="161">
        <v>19.03</v>
      </c>
      <c r="H21" s="161">
        <v>9.5500000000000007</v>
      </c>
      <c r="I21" s="161">
        <f t="shared" si="5"/>
        <v>152.24</v>
      </c>
      <c r="J21" s="161">
        <f t="shared" si="5"/>
        <v>76.399999999999991</v>
      </c>
      <c r="K21" s="59">
        <f t="shared" si="2"/>
        <v>28.58</v>
      </c>
      <c r="L21" s="173">
        <f t="shared" si="6"/>
        <v>200.05999999999995</v>
      </c>
      <c r="M21" s="203"/>
      <c r="N21" s="325">
        <f t="shared" si="10"/>
        <v>28.58</v>
      </c>
      <c r="O21" s="322">
        <f t="shared" si="11"/>
        <v>189.95599999999996</v>
      </c>
      <c r="P21" s="203"/>
      <c r="Q21" s="172">
        <v>2032</v>
      </c>
      <c r="R21" s="242">
        <f t="shared" si="7"/>
        <v>28.58</v>
      </c>
      <c r="S21" s="380">
        <f t="shared" si="8"/>
        <v>28.58</v>
      </c>
    </row>
    <row r="22" spans="1:19" ht="15" customHeight="1">
      <c r="B22" s="172">
        <v>2033</v>
      </c>
      <c r="C22" s="159">
        <f t="shared" si="3"/>
        <v>3.3766403627327024E-2</v>
      </c>
      <c r="D22" s="160">
        <f>E22+D21</f>
        <v>45874</v>
      </c>
      <c r="E22" s="160">
        <f t="shared" si="4"/>
        <v>1549</v>
      </c>
      <c r="F22" s="160">
        <v>934</v>
      </c>
      <c r="G22" s="161">
        <v>19.03</v>
      </c>
      <c r="H22" s="161">
        <v>9.5500000000000007</v>
      </c>
      <c r="I22" s="161">
        <f t="shared" si="5"/>
        <v>171.27</v>
      </c>
      <c r="J22" s="161">
        <f t="shared" si="5"/>
        <v>85.949999999999989</v>
      </c>
      <c r="K22" s="59">
        <f t="shared" si="2"/>
        <v>28.58</v>
      </c>
      <c r="L22" s="173">
        <f t="shared" si="6"/>
        <v>228.63999999999993</v>
      </c>
      <c r="M22" s="203"/>
      <c r="N22" s="325">
        <f t="shared" si="10"/>
        <v>28.58</v>
      </c>
      <c r="O22" s="322">
        <f t="shared" si="11"/>
        <v>218.53599999999994</v>
      </c>
      <c r="P22" s="203"/>
      <c r="Q22" s="172">
        <v>2033</v>
      </c>
      <c r="R22" s="242">
        <f t="shared" si="7"/>
        <v>28.58</v>
      </c>
      <c r="S22" s="380">
        <f t="shared" si="8"/>
        <v>28.58</v>
      </c>
    </row>
    <row r="23" spans="1:19" ht="15" customHeight="1">
      <c r="B23" s="172">
        <v>2034</v>
      </c>
      <c r="C23" s="159">
        <f t="shared" si="3"/>
        <v>3.2663475528751873E-2</v>
      </c>
      <c r="D23" s="160">
        <f t="shared" si="9"/>
        <v>47423</v>
      </c>
      <c r="E23" s="160">
        <f t="shared" si="4"/>
        <v>1549</v>
      </c>
      <c r="F23" s="160">
        <v>934</v>
      </c>
      <c r="G23" s="161">
        <v>19.03</v>
      </c>
      <c r="H23" s="161">
        <v>9.5500000000000007</v>
      </c>
      <c r="I23" s="161">
        <f t="shared" si="5"/>
        <v>190.3</v>
      </c>
      <c r="J23" s="161">
        <f t="shared" si="5"/>
        <v>95.499999999999986</v>
      </c>
      <c r="K23" s="59">
        <f t="shared" si="2"/>
        <v>28.58</v>
      </c>
      <c r="L23" s="173">
        <f t="shared" si="6"/>
        <v>257.21999999999991</v>
      </c>
      <c r="M23" s="203"/>
      <c r="N23" s="325">
        <f t="shared" si="10"/>
        <v>28.58</v>
      </c>
      <c r="O23" s="322">
        <f t="shared" si="11"/>
        <v>247.11599999999993</v>
      </c>
      <c r="P23" s="203"/>
      <c r="Q23" s="172">
        <v>2034</v>
      </c>
      <c r="R23" s="242">
        <f t="shared" si="7"/>
        <v>28.58</v>
      </c>
      <c r="S23" s="380">
        <f t="shared" si="8"/>
        <v>28.58</v>
      </c>
    </row>
    <row r="24" spans="1:19" ht="15" customHeight="1">
      <c r="B24" s="172">
        <v>2035</v>
      </c>
      <c r="C24" s="159">
        <f t="shared" si="3"/>
        <v>3.1630319366168426E-2</v>
      </c>
      <c r="D24" s="160">
        <f t="shared" si="9"/>
        <v>48972</v>
      </c>
      <c r="E24" s="160">
        <f t="shared" si="4"/>
        <v>1549</v>
      </c>
      <c r="F24" s="160">
        <v>934</v>
      </c>
      <c r="G24" s="161">
        <v>19.03</v>
      </c>
      <c r="H24" s="161">
        <v>9.5500000000000007</v>
      </c>
      <c r="I24" s="161">
        <f t="shared" si="5"/>
        <v>209.33</v>
      </c>
      <c r="J24" s="161">
        <f t="shared" si="5"/>
        <v>105.04999999999998</v>
      </c>
      <c r="K24" s="59">
        <f t="shared" si="2"/>
        <v>28.58</v>
      </c>
      <c r="L24" s="173">
        <f t="shared" si="6"/>
        <v>285.7999999999999</v>
      </c>
      <c r="M24" s="203"/>
      <c r="N24" s="325">
        <f t="shared" si="10"/>
        <v>28.58</v>
      </c>
      <c r="O24" s="322">
        <f t="shared" si="11"/>
        <v>275.69599999999991</v>
      </c>
      <c r="P24" s="203"/>
      <c r="Q24" s="172">
        <v>2035</v>
      </c>
      <c r="R24" s="242">
        <f t="shared" si="7"/>
        <v>28.58</v>
      </c>
      <c r="S24" s="380">
        <f t="shared" si="8"/>
        <v>28.58</v>
      </c>
    </row>
    <row r="25" spans="1:19" ht="15" customHeight="1">
      <c r="B25" s="172">
        <v>2036</v>
      </c>
      <c r="C25" s="159">
        <f t="shared" si="3"/>
        <v>3.0660517408602362E-2</v>
      </c>
      <c r="D25" s="160">
        <f t="shared" si="9"/>
        <v>50521</v>
      </c>
      <c r="E25" s="160">
        <f t="shared" si="4"/>
        <v>1549</v>
      </c>
      <c r="F25" s="160">
        <v>934</v>
      </c>
      <c r="G25" s="161">
        <v>19.03</v>
      </c>
      <c r="H25" s="161">
        <v>9.5500000000000007</v>
      </c>
      <c r="I25" s="161">
        <f t="shared" si="5"/>
        <v>228.36</v>
      </c>
      <c r="J25" s="161">
        <f t="shared" si="5"/>
        <v>114.59999999999998</v>
      </c>
      <c r="K25" s="59">
        <f t="shared" si="2"/>
        <v>28.58</v>
      </c>
      <c r="L25" s="173">
        <f t="shared" si="6"/>
        <v>314.37999999999988</v>
      </c>
      <c r="M25" s="203"/>
      <c r="N25" s="325">
        <f t="shared" si="10"/>
        <v>28.58</v>
      </c>
      <c r="O25" s="322">
        <f t="shared" si="11"/>
        <v>304.2759999999999</v>
      </c>
      <c r="P25" s="203"/>
      <c r="Q25" s="172">
        <v>2036</v>
      </c>
      <c r="R25" s="242">
        <f t="shared" si="7"/>
        <v>28.58</v>
      </c>
      <c r="S25" s="380">
        <f t="shared" si="8"/>
        <v>28.58</v>
      </c>
    </row>
    <row r="26" spans="1:19" ht="15" customHeight="1">
      <c r="B26" s="172">
        <v>2037</v>
      </c>
      <c r="C26" s="159">
        <f t="shared" si="3"/>
        <v>2.9748415594392164E-2</v>
      </c>
      <c r="D26" s="160">
        <f t="shared" si="9"/>
        <v>52070</v>
      </c>
      <c r="E26" s="160">
        <f t="shared" si="4"/>
        <v>1549</v>
      </c>
      <c r="F26" s="160">
        <v>934</v>
      </c>
      <c r="G26" s="161">
        <v>19.03</v>
      </c>
      <c r="H26" s="161">
        <v>9.5500000000000007</v>
      </c>
      <c r="I26" s="161">
        <f t="shared" si="5"/>
        <v>247.39000000000001</v>
      </c>
      <c r="J26" s="161">
        <f t="shared" si="5"/>
        <v>124.14999999999998</v>
      </c>
      <c r="K26" s="59">
        <f t="shared" si="2"/>
        <v>28.58</v>
      </c>
      <c r="L26" s="173">
        <f t="shared" si="6"/>
        <v>342.95999999999987</v>
      </c>
      <c r="M26" s="203"/>
      <c r="N26" s="325">
        <f t="shared" si="10"/>
        <v>28.58</v>
      </c>
      <c r="O26" s="322">
        <f t="shared" si="11"/>
        <v>332.85599999999988</v>
      </c>
      <c r="P26" s="203"/>
      <c r="Q26" s="172">
        <v>2037</v>
      </c>
      <c r="R26" s="242">
        <f t="shared" si="7"/>
        <v>28.58</v>
      </c>
      <c r="S26" s="380">
        <f t="shared" si="8"/>
        <v>28.58</v>
      </c>
    </row>
    <row r="27" spans="1:19" ht="15" customHeight="1">
      <c r="B27" s="172">
        <v>2038</v>
      </c>
      <c r="C27" s="159">
        <f t="shared" si="3"/>
        <v>2.8889013222924708E-2</v>
      </c>
      <c r="D27" s="160">
        <f t="shared" si="9"/>
        <v>53619</v>
      </c>
      <c r="E27" s="160">
        <f t="shared" si="4"/>
        <v>1549</v>
      </c>
      <c r="F27" s="160">
        <v>934</v>
      </c>
      <c r="G27" s="161">
        <v>19.03</v>
      </c>
      <c r="H27" s="161">
        <v>9.5500000000000007</v>
      </c>
      <c r="I27" s="161">
        <f t="shared" si="5"/>
        <v>266.42</v>
      </c>
      <c r="J27" s="161">
        <f t="shared" si="5"/>
        <v>133.69999999999999</v>
      </c>
      <c r="K27" s="59">
        <f t="shared" si="2"/>
        <v>28.58</v>
      </c>
      <c r="L27" s="173">
        <f t="shared" si="6"/>
        <v>371.53999999999985</v>
      </c>
      <c r="M27" s="203"/>
      <c r="N27" s="325">
        <f t="shared" si="10"/>
        <v>28.58</v>
      </c>
      <c r="O27" s="322">
        <f t="shared" si="11"/>
        <v>361.43599999999986</v>
      </c>
      <c r="P27" s="203"/>
      <c r="Q27" s="172">
        <v>2038</v>
      </c>
      <c r="R27" s="242">
        <f t="shared" si="7"/>
        <v>28.58</v>
      </c>
      <c r="S27" s="380">
        <f t="shared" si="8"/>
        <v>28.58</v>
      </c>
    </row>
    <row r="28" spans="1:19" ht="15" customHeight="1">
      <c r="B28" s="172">
        <v>2039</v>
      </c>
      <c r="C28" s="159">
        <f t="shared" si="3"/>
        <v>2.8077871229698376E-2</v>
      </c>
      <c r="D28" s="160">
        <f t="shared" si="9"/>
        <v>55168</v>
      </c>
      <c r="E28" s="160">
        <f t="shared" si="4"/>
        <v>1549</v>
      </c>
      <c r="F28" s="160">
        <v>934</v>
      </c>
      <c r="G28" s="161">
        <v>19.03</v>
      </c>
      <c r="H28" s="161">
        <v>9.5500000000000007</v>
      </c>
      <c r="I28" s="161">
        <f t="shared" si="5"/>
        <v>285.45000000000005</v>
      </c>
      <c r="J28" s="161">
        <f t="shared" si="5"/>
        <v>143.25</v>
      </c>
      <c r="K28" s="59">
        <f t="shared" si="2"/>
        <v>28.58</v>
      </c>
      <c r="L28" s="173">
        <f t="shared" si="6"/>
        <v>400.11999999999983</v>
      </c>
      <c r="M28" s="203"/>
      <c r="N28" s="325">
        <f t="shared" si="10"/>
        <v>28.58</v>
      </c>
      <c r="O28" s="322">
        <f t="shared" si="11"/>
        <v>390.01599999999985</v>
      </c>
      <c r="P28" s="203"/>
      <c r="Q28" s="172">
        <v>2039</v>
      </c>
      <c r="R28" s="242">
        <f t="shared" si="7"/>
        <v>28.58</v>
      </c>
      <c r="S28" s="380">
        <f t="shared" si="8"/>
        <v>28.58</v>
      </c>
    </row>
    <row r="29" spans="1:19" ht="15" customHeight="1">
      <c r="B29" s="172">
        <v>2040</v>
      </c>
      <c r="C29" s="159">
        <f t="shared" si="3"/>
        <v>2.7311035492004161E-2</v>
      </c>
      <c r="D29" s="160">
        <f t="shared" si="9"/>
        <v>56717</v>
      </c>
      <c r="E29" s="160">
        <f t="shared" si="4"/>
        <v>1549</v>
      </c>
      <c r="F29" s="160">
        <v>934</v>
      </c>
      <c r="G29" s="161">
        <v>19.03</v>
      </c>
      <c r="H29" s="161">
        <v>9.5500000000000007</v>
      </c>
      <c r="I29" s="161">
        <f t="shared" si="5"/>
        <v>304.48</v>
      </c>
      <c r="J29" s="161">
        <f t="shared" si="5"/>
        <v>152.80000000000001</v>
      </c>
      <c r="K29" s="59">
        <f t="shared" si="2"/>
        <v>28.58</v>
      </c>
      <c r="L29" s="173">
        <f t="shared" si="6"/>
        <v>428.69999999999982</v>
      </c>
      <c r="M29" s="203"/>
      <c r="N29" s="325">
        <f t="shared" si="10"/>
        <v>28.58</v>
      </c>
      <c r="O29" s="322">
        <f t="shared" si="11"/>
        <v>418.59599999999983</v>
      </c>
      <c r="P29" s="203"/>
      <c r="Q29" s="172">
        <v>2040</v>
      </c>
      <c r="R29" s="242">
        <f t="shared" si="7"/>
        <v>28.58</v>
      </c>
      <c r="S29" s="380">
        <f t="shared" si="8"/>
        <v>28.58</v>
      </c>
    </row>
    <row r="30" spans="1:19" ht="15" customHeight="1">
      <c r="A30" s="174"/>
      <c r="B30" s="172">
        <v>2041</v>
      </c>
      <c r="C30" s="159">
        <f t="shared" si="3"/>
        <v>2.6584972368104899E-2</v>
      </c>
      <c r="D30" s="160">
        <f t="shared" si="9"/>
        <v>58266</v>
      </c>
      <c r="E30" s="160">
        <f t="shared" si="4"/>
        <v>1549</v>
      </c>
      <c r="F30" s="160">
        <v>934</v>
      </c>
      <c r="G30" s="161">
        <v>19.03</v>
      </c>
      <c r="H30" s="161">
        <v>9.5500000000000007</v>
      </c>
      <c r="I30" s="161">
        <f t="shared" ref="I30:J45" si="12">+G30+I29</f>
        <v>323.51</v>
      </c>
      <c r="J30" s="161">
        <f t="shared" si="12"/>
        <v>162.35000000000002</v>
      </c>
      <c r="K30" s="59">
        <f t="shared" si="2"/>
        <v>28.58</v>
      </c>
      <c r="L30" s="173">
        <f t="shared" si="6"/>
        <v>457.2799999999998</v>
      </c>
      <c r="M30" s="203"/>
      <c r="N30" s="325">
        <f t="shared" si="10"/>
        <v>28.58</v>
      </c>
      <c r="O30" s="322">
        <f t="shared" si="11"/>
        <v>447.17599999999982</v>
      </c>
      <c r="P30" s="203"/>
      <c r="Q30" s="172">
        <v>2041</v>
      </c>
      <c r="R30" s="242">
        <f t="shared" si="7"/>
        <v>28.58</v>
      </c>
      <c r="S30" s="380">
        <f t="shared" si="8"/>
        <v>28.58</v>
      </c>
    </row>
    <row r="31" spans="1:19" ht="15" customHeight="1">
      <c r="B31" s="172">
        <v>2042</v>
      </c>
      <c r="C31" s="159">
        <f t="shared" si="3"/>
        <v>2.5896514252277857E-2</v>
      </c>
      <c r="D31" s="160">
        <f t="shared" si="9"/>
        <v>59815</v>
      </c>
      <c r="E31" s="160">
        <f t="shared" si="4"/>
        <v>1549</v>
      </c>
      <c r="F31" s="160">
        <v>934</v>
      </c>
      <c r="G31" s="161">
        <v>19.03</v>
      </c>
      <c r="H31" s="161">
        <v>9.5500000000000007</v>
      </c>
      <c r="I31" s="161">
        <f t="shared" si="12"/>
        <v>342.53999999999996</v>
      </c>
      <c r="J31" s="161">
        <f t="shared" si="12"/>
        <v>171.90000000000003</v>
      </c>
      <c r="K31" s="59">
        <f t="shared" si="2"/>
        <v>28.58</v>
      </c>
      <c r="L31" s="173">
        <f t="shared" si="6"/>
        <v>485.85999999999979</v>
      </c>
      <c r="M31" s="203"/>
      <c r="N31" s="325">
        <f t="shared" si="10"/>
        <v>28.58</v>
      </c>
      <c r="O31" s="322">
        <f t="shared" si="11"/>
        <v>475.7559999999998</v>
      </c>
      <c r="P31" s="203"/>
      <c r="Q31" s="172">
        <v>2042</v>
      </c>
      <c r="R31" s="242">
        <f t="shared" si="7"/>
        <v>28.58</v>
      </c>
      <c r="S31" s="380">
        <f t="shared" si="8"/>
        <v>28.58</v>
      </c>
    </row>
    <row r="32" spans="1:19" ht="15" customHeight="1">
      <c r="B32" s="172">
        <v>2043</v>
      </c>
      <c r="C32" s="159">
        <f t="shared" si="3"/>
        <v>2.5242813375920735E-2</v>
      </c>
      <c r="D32" s="160">
        <f t="shared" si="9"/>
        <v>61364</v>
      </c>
      <c r="E32" s="160">
        <f t="shared" si="4"/>
        <v>1549</v>
      </c>
      <c r="F32" s="160">
        <v>934</v>
      </c>
      <c r="G32" s="161">
        <v>19.03</v>
      </c>
      <c r="H32" s="161">
        <v>9.5500000000000007</v>
      </c>
      <c r="I32" s="161">
        <f t="shared" si="12"/>
        <v>361.56999999999994</v>
      </c>
      <c r="J32" s="161">
        <f t="shared" si="12"/>
        <v>181.45000000000005</v>
      </c>
      <c r="K32" s="59">
        <f t="shared" si="2"/>
        <v>28.58</v>
      </c>
      <c r="L32" s="173">
        <f t="shared" si="6"/>
        <v>514.43999999999983</v>
      </c>
      <c r="M32" s="203"/>
      <c r="N32" s="325">
        <f t="shared" si="10"/>
        <v>28.58</v>
      </c>
      <c r="O32" s="322">
        <f t="shared" si="11"/>
        <v>504.33599999999979</v>
      </c>
      <c r="P32" s="203"/>
      <c r="Q32" s="172">
        <v>2043</v>
      </c>
      <c r="R32" s="242">
        <f t="shared" si="7"/>
        <v>28.58</v>
      </c>
      <c r="S32" s="380">
        <f t="shared" si="8"/>
        <v>28.58</v>
      </c>
    </row>
    <row r="33" spans="1:21" ht="15" customHeight="1">
      <c r="B33" s="172">
        <v>2044</v>
      </c>
      <c r="C33" s="159">
        <f t="shared" si="3"/>
        <v>2.4621302433519305E-2</v>
      </c>
      <c r="D33" s="160">
        <f t="shared" si="9"/>
        <v>62913</v>
      </c>
      <c r="E33" s="160">
        <f t="shared" si="4"/>
        <v>1549</v>
      </c>
      <c r="F33" s="160">
        <v>934</v>
      </c>
      <c r="G33" s="161">
        <v>19.03</v>
      </c>
      <c r="H33" s="161">
        <v>9.5500000000000007</v>
      </c>
      <c r="I33" s="161">
        <f t="shared" si="12"/>
        <v>380.59999999999991</v>
      </c>
      <c r="J33" s="161">
        <f t="shared" si="12"/>
        <v>191.00000000000006</v>
      </c>
      <c r="K33" s="59">
        <f t="shared" si="2"/>
        <v>28.58</v>
      </c>
      <c r="L33" s="173">
        <f t="shared" si="6"/>
        <v>543.01999999999987</v>
      </c>
      <c r="M33" s="203"/>
      <c r="N33" s="325">
        <f t="shared" si="10"/>
        <v>28.58</v>
      </c>
      <c r="O33" s="322">
        <f t="shared" si="11"/>
        <v>532.91599999999983</v>
      </c>
      <c r="P33" s="203"/>
      <c r="Q33" s="172">
        <v>2044</v>
      </c>
      <c r="R33" s="242">
        <f t="shared" si="7"/>
        <v>28.58</v>
      </c>
      <c r="S33" s="380">
        <f t="shared" si="8"/>
        <v>28.58</v>
      </c>
    </row>
    <row r="34" spans="1:21" ht="15" customHeight="1">
      <c r="B34" s="172">
        <v>2045</v>
      </c>
      <c r="C34" s="159">
        <f t="shared" si="3"/>
        <v>2.4029660885482921E-2</v>
      </c>
      <c r="D34" s="160">
        <f t="shared" si="9"/>
        <v>64462</v>
      </c>
      <c r="E34" s="160">
        <f t="shared" si="4"/>
        <v>1549</v>
      </c>
      <c r="F34" s="160">
        <v>934</v>
      </c>
      <c r="G34" s="161">
        <v>19.03</v>
      </c>
      <c r="H34" s="161">
        <v>9.5500000000000007</v>
      </c>
      <c r="I34" s="161">
        <f t="shared" si="12"/>
        <v>399.62999999999988</v>
      </c>
      <c r="J34" s="161">
        <f t="shared" si="12"/>
        <v>200.55000000000007</v>
      </c>
      <c r="K34" s="59">
        <f t="shared" si="2"/>
        <v>28.58</v>
      </c>
      <c r="L34" s="173">
        <f t="shared" si="6"/>
        <v>571.59999999999991</v>
      </c>
      <c r="M34" s="203"/>
      <c r="N34" s="325">
        <f t="shared" si="10"/>
        <v>28.58</v>
      </c>
      <c r="O34" s="322">
        <f t="shared" si="11"/>
        <v>561.49599999999987</v>
      </c>
      <c r="P34" s="203"/>
      <c r="Q34" s="172">
        <v>2045</v>
      </c>
      <c r="R34" s="242">
        <f t="shared" si="7"/>
        <v>28.58</v>
      </c>
      <c r="S34" s="380">
        <f t="shared" si="8"/>
        <v>28.58</v>
      </c>
    </row>
    <row r="35" spans="1:21" ht="15" customHeight="1">
      <c r="B35" s="172">
        <v>2046</v>
      </c>
      <c r="C35" s="159">
        <f t="shared" si="3"/>
        <v>2.3465786005362744E-2</v>
      </c>
      <c r="D35" s="160">
        <f t="shared" si="9"/>
        <v>66011</v>
      </c>
      <c r="E35" s="160">
        <f t="shared" si="4"/>
        <v>1549</v>
      </c>
      <c r="F35" s="160">
        <v>934</v>
      </c>
      <c r="G35" s="161">
        <v>19.03</v>
      </c>
      <c r="H35" s="161">
        <v>9.5500000000000007</v>
      </c>
      <c r="I35" s="161">
        <f t="shared" si="12"/>
        <v>418.65999999999985</v>
      </c>
      <c r="J35" s="161">
        <f t="shared" si="12"/>
        <v>210.10000000000008</v>
      </c>
      <c r="K35" s="59">
        <f t="shared" si="2"/>
        <v>28.58</v>
      </c>
      <c r="L35" s="173">
        <f t="shared" si="6"/>
        <v>600.17999999999995</v>
      </c>
      <c r="M35" s="203"/>
      <c r="N35" s="325">
        <f t="shared" si="10"/>
        <v>28.58</v>
      </c>
      <c r="O35" s="322">
        <f t="shared" si="11"/>
        <v>590.07599999999991</v>
      </c>
      <c r="P35" s="203"/>
      <c r="Q35" s="172">
        <v>2046</v>
      </c>
      <c r="R35" s="242">
        <f t="shared" si="7"/>
        <v>28.58</v>
      </c>
      <c r="S35" s="380">
        <f t="shared" si="8"/>
        <v>28.58</v>
      </c>
    </row>
    <row r="36" spans="1:21" ht="15" customHeight="1">
      <c r="A36" s="63"/>
      <c r="B36" s="172">
        <v>2047</v>
      </c>
      <c r="C36" s="159">
        <f t="shared" si="3"/>
        <v>2.292776791000592E-2</v>
      </c>
      <c r="D36" s="160">
        <f t="shared" si="9"/>
        <v>67560</v>
      </c>
      <c r="E36" s="160">
        <f t="shared" si="4"/>
        <v>1549</v>
      </c>
      <c r="F36" s="160">
        <v>934</v>
      </c>
      <c r="G36" s="161">
        <v>19.03</v>
      </c>
      <c r="H36" s="161">
        <v>9.5500000000000007</v>
      </c>
      <c r="I36" s="161">
        <f t="shared" si="12"/>
        <v>437.68999999999983</v>
      </c>
      <c r="J36" s="161">
        <f t="shared" si="12"/>
        <v>219.65000000000009</v>
      </c>
      <c r="K36" s="59">
        <f t="shared" si="2"/>
        <v>28.58</v>
      </c>
      <c r="L36" s="173">
        <f t="shared" si="6"/>
        <v>628.76</v>
      </c>
      <c r="M36" s="203"/>
      <c r="N36" s="325">
        <f t="shared" si="10"/>
        <v>28.58</v>
      </c>
      <c r="O36" s="322">
        <f t="shared" si="11"/>
        <v>618.65599999999995</v>
      </c>
      <c r="P36" s="203"/>
      <c r="Q36" s="172">
        <v>2047</v>
      </c>
      <c r="R36" s="242">
        <f t="shared" si="7"/>
        <v>28.58</v>
      </c>
      <c r="S36" s="380">
        <f t="shared" si="8"/>
        <v>28.58</v>
      </c>
    </row>
    <row r="37" spans="1:21" ht="15" customHeight="1">
      <c r="B37" s="172">
        <v>2048</v>
      </c>
      <c r="C37" s="159">
        <f t="shared" si="3"/>
        <v>2.2413867947734738E-2</v>
      </c>
      <c r="D37" s="160">
        <f t="shared" si="9"/>
        <v>69109</v>
      </c>
      <c r="E37" s="160">
        <f t="shared" si="4"/>
        <v>1549</v>
      </c>
      <c r="F37" s="160">
        <v>934</v>
      </c>
      <c r="G37" s="161">
        <v>19.03</v>
      </c>
      <c r="H37" s="161">
        <v>9.5500000000000007</v>
      </c>
      <c r="I37" s="161">
        <f t="shared" si="12"/>
        <v>456.7199999999998</v>
      </c>
      <c r="J37" s="161">
        <f t="shared" si="12"/>
        <v>229.2000000000001</v>
      </c>
      <c r="K37" s="59">
        <f t="shared" si="2"/>
        <v>28.58</v>
      </c>
      <c r="L37" s="173">
        <f t="shared" si="6"/>
        <v>657.34</v>
      </c>
      <c r="M37" s="203"/>
      <c r="N37" s="325">
        <f t="shared" si="10"/>
        <v>28.58</v>
      </c>
      <c r="O37" s="322">
        <f t="shared" si="11"/>
        <v>647.23599999999999</v>
      </c>
      <c r="P37" s="203"/>
      <c r="Q37" s="172">
        <v>2048</v>
      </c>
      <c r="R37" s="242">
        <f t="shared" si="7"/>
        <v>28.58</v>
      </c>
      <c r="S37" s="380">
        <f t="shared" si="8"/>
        <v>28.58</v>
      </c>
    </row>
    <row r="38" spans="1:21" ht="15" customHeight="1">
      <c r="B38" s="172">
        <v>2049</v>
      </c>
      <c r="C38" s="159">
        <f t="shared" si="3"/>
        <v>2.1922499929236606E-2</v>
      </c>
      <c r="D38" s="160">
        <f t="shared" si="9"/>
        <v>70658</v>
      </c>
      <c r="E38" s="160">
        <f t="shared" si="4"/>
        <v>1549</v>
      </c>
      <c r="F38" s="160">
        <v>934</v>
      </c>
      <c r="G38" s="161">
        <v>19.03</v>
      </c>
      <c r="H38" s="161">
        <v>9.5500000000000007</v>
      </c>
      <c r="I38" s="161">
        <f t="shared" si="12"/>
        <v>475.74999999999977</v>
      </c>
      <c r="J38" s="161">
        <f t="shared" si="12"/>
        <v>238.75000000000011</v>
      </c>
      <c r="K38" s="59">
        <f t="shared" si="2"/>
        <v>28.58</v>
      </c>
      <c r="L38" s="173">
        <f t="shared" si="6"/>
        <v>685.92000000000007</v>
      </c>
      <c r="M38" s="203"/>
      <c r="N38" s="325">
        <f t="shared" si="10"/>
        <v>28.58</v>
      </c>
      <c r="O38" s="322">
        <f t="shared" si="11"/>
        <v>675.81600000000003</v>
      </c>
      <c r="P38" s="203"/>
      <c r="Q38" s="172">
        <v>2049</v>
      </c>
      <c r="R38" s="242">
        <f t="shared" si="7"/>
        <v>28.58</v>
      </c>
      <c r="S38" s="380">
        <f t="shared" si="8"/>
        <v>28.58</v>
      </c>
    </row>
    <row r="39" spans="1:21" ht="15" customHeight="1">
      <c r="B39" s="339">
        <v>2050</v>
      </c>
      <c r="C39" s="162">
        <f t="shared" si="3"/>
        <v>2.1452213774287812E-2</v>
      </c>
      <c r="D39" s="163">
        <f t="shared" si="9"/>
        <v>72207</v>
      </c>
      <c r="E39" s="163">
        <f t="shared" si="4"/>
        <v>1549</v>
      </c>
      <c r="F39" s="163">
        <v>934</v>
      </c>
      <c r="G39" s="164">
        <v>19.03</v>
      </c>
      <c r="H39" s="164">
        <v>9.5500000000000007</v>
      </c>
      <c r="I39" s="164">
        <f t="shared" si="12"/>
        <v>494.77999999999975</v>
      </c>
      <c r="J39" s="164">
        <f t="shared" si="12"/>
        <v>248.30000000000013</v>
      </c>
      <c r="K39" s="165">
        <f t="shared" si="2"/>
        <v>28.58</v>
      </c>
      <c r="L39" s="340">
        <f t="shared" si="6"/>
        <v>714.50000000000011</v>
      </c>
      <c r="M39" s="203"/>
      <c r="N39" s="325">
        <f t="shared" si="10"/>
        <v>28.58</v>
      </c>
      <c r="O39" s="322">
        <f t="shared" si="11"/>
        <v>704.39600000000007</v>
      </c>
      <c r="P39" s="203"/>
      <c r="Q39" s="172">
        <v>2050</v>
      </c>
      <c r="R39" s="242">
        <f t="shared" si="7"/>
        <v>28.58</v>
      </c>
      <c r="S39" s="380">
        <f t="shared" si="8"/>
        <v>28.58</v>
      </c>
    </row>
    <row r="40" spans="1:21" ht="15" customHeight="1" thickBot="1">
      <c r="A40" s="351" t="s">
        <v>280</v>
      </c>
      <c r="B40" s="175">
        <v>2051</v>
      </c>
      <c r="C40" s="176">
        <f t="shared" si="3"/>
        <v>2.1001681219155053E-2</v>
      </c>
      <c r="D40" s="177">
        <f t="shared" si="9"/>
        <v>73756</v>
      </c>
      <c r="E40" s="177">
        <f t="shared" si="4"/>
        <v>1549</v>
      </c>
      <c r="F40" s="177">
        <v>934</v>
      </c>
      <c r="G40" s="178">
        <v>19.03</v>
      </c>
      <c r="H40" s="178">
        <v>9.5500000000000007</v>
      </c>
      <c r="I40" s="178">
        <f t="shared" si="12"/>
        <v>513.80999999999972</v>
      </c>
      <c r="J40" s="178">
        <f t="shared" si="12"/>
        <v>257.85000000000014</v>
      </c>
      <c r="K40" s="179">
        <f t="shared" si="2"/>
        <v>28.58</v>
      </c>
      <c r="L40" s="180">
        <f t="shared" si="6"/>
        <v>743.08000000000015</v>
      </c>
      <c r="M40" s="203"/>
      <c r="N40" s="354">
        <f t="shared" si="10"/>
        <v>28.58</v>
      </c>
      <c r="O40" s="355">
        <f t="shared" si="11"/>
        <v>732.97600000000011</v>
      </c>
      <c r="P40" s="203"/>
      <c r="Q40" s="330">
        <v>2051</v>
      </c>
      <c r="R40" s="243">
        <f t="shared" si="7"/>
        <v>11.395542930923057</v>
      </c>
      <c r="S40" s="381">
        <f t="shared" si="8"/>
        <v>10.104000000000042</v>
      </c>
    </row>
    <row r="41" spans="1:21" ht="15" customHeight="1">
      <c r="B41" s="181">
        <v>2052</v>
      </c>
      <c r="C41" s="182">
        <f t="shared" si="3"/>
        <v>2.0569683287962288E-2</v>
      </c>
      <c r="D41" s="183">
        <f t="shared" si="9"/>
        <v>75305</v>
      </c>
      <c r="E41" s="183">
        <f t="shared" si="4"/>
        <v>1549</v>
      </c>
      <c r="F41" s="183">
        <v>934</v>
      </c>
      <c r="G41" s="184">
        <v>19.03</v>
      </c>
      <c r="H41" s="184">
        <v>9.5500000000000007</v>
      </c>
      <c r="I41" s="184">
        <f t="shared" si="12"/>
        <v>532.83999999999969</v>
      </c>
      <c r="J41" s="184">
        <f t="shared" si="12"/>
        <v>267.40000000000015</v>
      </c>
      <c r="K41" s="185">
        <f t="shared" si="2"/>
        <v>28.58</v>
      </c>
      <c r="L41" s="185">
        <f t="shared" si="6"/>
        <v>771.6600000000002</v>
      </c>
      <c r="M41" s="203"/>
      <c r="N41" s="325">
        <f t="shared" si="10"/>
        <v>28.58</v>
      </c>
      <c r="O41" s="322">
        <f t="shared" si="11"/>
        <v>761.55600000000015</v>
      </c>
      <c r="P41" s="203"/>
      <c r="Q41" s="172">
        <v>2052</v>
      </c>
      <c r="R41" s="242">
        <f t="shared" si="7"/>
        <v>0</v>
      </c>
      <c r="S41" s="380">
        <f t="shared" si="8"/>
        <v>0</v>
      </c>
    </row>
    <row r="42" spans="1:21" s="57" customFormat="1" ht="15" customHeight="1">
      <c r="A42" s="13"/>
      <c r="B42" s="58">
        <v>2053</v>
      </c>
      <c r="C42" s="159">
        <f t="shared" si="3"/>
        <v>2.0155099279152679E-2</v>
      </c>
      <c r="D42" s="160">
        <f t="shared" si="9"/>
        <v>76854</v>
      </c>
      <c r="E42" s="160">
        <f t="shared" si="4"/>
        <v>1549</v>
      </c>
      <c r="F42" s="160">
        <v>934</v>
      </c>
      <c r="G42" s="161">
        <v>19.03</v>
      </c>
      <c r="H42" s="161">
        <v>9.5500000000000007</v>
      </c>
      <c r="I42" s="161">
        <f t="shared" si="12"/>
        <v>551.86999999999966</v>
      </c>
      <c r="J42" s="161">
        <f t="shared" si="12"/>
        <v>276.95000000000016</v>
      </c>
      <c r="K42" s="59">
        <f t="shared" si="2"/>
        <v>28.58</v>
      </c>
      <c r="L42" s="59">
        <f t="shared" si="6"/>
        <v>800.24000000000024</v>
      </c>
      <c r="M42" s="203"/>
      <c r="N42" s="325">
        <f t="shared" si="10"/>
        <v>28.58</v>
      </c>
      <c r="O42" s="322">
        <f t="shared" si="11"/>
        <v>790.13600000000019</v>
      </c>
      <c r="P42" s="203"/>
      <c r="Q42" s="172">
        <v>2053</v>
      </c>
      <c r="R42" s="242">
        <f t="shared" si="7"/>
        <v>0</v>
      </c>
      <c r="S42" s="380">
        <f t="shared" si="8"/>
        <v>0</v>
      </c>
      <c r="T42" s="13"/>
      <c r="U42" s="13"/>
    </row>
    <row r="43" spans="1:21" s="57" customFormat="1" ht="15" customHeight="1">
      <c r="A43" s="13"/>
      <c r="B43" s="58">
        <v>2054</v>
      </c>
      <c r="C43" s="159">
        <f t="shared" si="3"/>
        <v>1.9756897057510554E-2</v>
      </c>
      <c r="D43" s="160">
        <f t="shared" si="9"/>
        <v>78403</v>
      </c>
      <c r="E43" s="160">
        <f t="shared" si="4"/>
        <v>1549</v>
      </c>
      <c r="F43" s="160">
        <v>934</v>
      </c>
      <c r="G43" s="161">
        <v>19.03</v>
      </c>
      <c r="H43" s="161">
        <v>9.5500000000000007</v>
      </c>
      <c r="I43" s="161">
        <f t="shared" si="12"/>
        <v>570.89999999999964</v>
      </c>
      <c r="J43" s="161">
        <f t="shared" si="12"/>
        <v>286.50000000000017</v>
      </c>
      <c r="K43" s="59">
        <f t="shared" si="2"/>
        <v>28.58</v>
      </c>
      <c r="L43" s="59">
        <f t="shared" si="6"/>
        <v>828.82000000000028</v>
      </c>
      <c r="M43" s="203"/>
      <c r="N43" s="325">
        <f t="shared" si="10"/>
        <v>28.58</v>
      </c>
      <c r="O43" s="322">
        <f t="shared" si="11"/>
        <v>818.71600000000024</v>
      </c>
      <c r="P43" s="203"/>
      <c r="Q43" s="172">
        <v>2054</v>
      </c>
      <c r="R43" s="242">
        <f t="shared" si="7"/>
        <v>0</v>
      </c>
      <c r="S43" s="380">
        <f t="shared" si="8"/>
        <v>0</v>
      </c>
      <c r="T43" s="13"/>
      <c r="U43" s="13"/>
    </row>
    <row r="44" spans="1:21" s="57" customFormat="1" ht="15" customHeight="1">
      <c r="A44" s="13"/>
      <c r="B44" s="58">
        <v>2055</v>
      </c>
      <c r="C44" s="159">
        <f t="shared" si="3"/>
        <v>1.9374124474684812E-2</v>
      </c>
      <c r="D44" s="160">
        <f t="shared" si="9"/>
        <v>79952</v>
      </c>
      <c r="E44" s="160">
        <f t="shared" si="4"/>
        <v>1549</v>
      </c>
      <c r="F44" s="160">
        <v>934</v>
      </c>
      <c r="G44" s="161">
        <v>19.03</v>
      </c>
      <c r="H44" s="161">
        <v>9.5500000000000007</v>
      </c>
      <c r="I44" s="161">
        <f t="shared" si="12"/>
        <v>589.92999999999961</v>
      </c>
      <c r="J44" s="161">
        <f t="shared" si="12"/>
        <v>296.05000000000018</v>
      </c>
      <c r="K44" s="59">
        <f t="shared" si="2"/>
        <v>28.58</v>
      </c>
      <c r="L44" s="59">
        <f t="shared" si="6"/>
        <v>857.40000000000032</v>
      </c>
      <c r="M44" s="203"/>
      <c r="N44" s="325">
        <f t="shared" si="10"/>
        <v>28.58</v>
      </c>
      <c r="O44" s="322">
        <f t="shared" si="11"/>
        <v>847.29600000000028</v>
      </c>
      <c r="P44" s="203"/>
      <c r="Q44" s="172">
        <v>2055</v>
      </c>
      <c r="R44" s="242">
        <f t="shared" si="7"/>
        <v>0</v>
      </c>
      <c r="S44" s="380">
        <f t="shared" si="8"/>
        <v>0</v>
      </c>
      <c r="T44" s="13"/>
      <c r="U44" s="13"/>
    </row>
    <row r="45" spans="1:21" s="57" customFormat="1" ht="15" customHeight="1">
      <c r="A45" s="13"/>
      <c r="B45" s="58">
        <v>2056</v>
      </c>
      <c r="C45" s="159">
        <f t="shared" si="3"/>
        <v>1.9005901768076466E-2</v>
      </c>
      <c r="D45" s="160">
        <f t="shared" si="9"/>
        <v>81501</v>
      </c>
      <c r="E45" s="160">
        <f t="shared" si="4"/>
        <v>1549</v>
      </c>
      <c r="F45" s="160">
        <v>934</v>
      </c>
      <c r="G45" s="161">
        <v>19.03</v>
      </c>
      <c r="H45" s="161">
        <v>9.5500000000000007</v>
      </c>
      <c r="I45" s="161">
        <f t="shared" si="12"/>
        <v>608.95999999999958</v>
      </c>
      <c r="J45" s="161">
        <f t="shared" si="12"/>
        <v>305.60000000000019</v>
      </c>
      <c r="K45" s="59">
        <f t="shared" si="2"/>
        <v>28.58</v>
      </c>
      <c r="L45" s="59">
        <f t="shared" si="6"/>
        <v>885.98000000000036</v>
      </c>
      <c r="M45" s="203"/>
      <c r="N45" s="325">
        <f t="shared" si="10"/>
        <v>28.58</v>
      </c>
      <c r="O45" s="322">
        <f t="shared" si="11"/>
        <v>875.87600000000032</v>
      </c>
      <c r="P45" s="203"/>
      <c r="Q45" s="172">
        <v>2056</v>
      </c>
      <c r="R45" s="242">
        <f t="shared" si="7"/>
        <v>0</v>
      </c>
      <c r="S45" s="380">
        <f t="shared" si="8"/>
        <v>0</v>
      </c>
      <c r="T45" s="13"/>
      <c r="U45" s="13"/>
    </row>
    <row r="46" spans="1:21" s="57" customFormat="1" ht="15" customHeight="1">
      <c r="A46" s="13"/>
      <c r="B46" s="58">
        <v>2057</v>
      </c>
      <c r="C46" s="159">
        <f t="shared" si="3"/>
        <v>1.8651414810355208E-2</v>
      </c>
      <c r="D46" s="160">
        <f t="shared" si="9"/>
        <v>83050</v>
      </c>
      <c r="E46" s="160">
        <f t="shared" si="4"/>
        <v>1549</v>
      </c>
      <c r="F46" s="160">
        <v>934</v>
      </c>
      <c r="G46" s="161">
        <v>19.03</v>
      </c>
      <c r="H46" s="161">
        <v>9.5500000000000007</v>
      </c>
      <c r="I46" s="161">
        <f t="shared" ref="I46:J61" si="13">+G46+I45</f>
        <v>627.98999999999955</v>
      </c>
      <c r="J46" s="161">
        <f t="shared" si="13"/>
        <v>315.1500000000002</v>
      </c>
      <c r="K46" s="59">
        <f t="shared" si="2"/>
        <v>28.58</v>
      </c>
      <c r="L46" s="59">
        <f t="shared" si="6"/>
        <v>914.5600000000004</v>
      </c>
      <c r="M46" s="203"/>
      <c r="N46" s="325">
        <f t="shared" si="10"/>
        <v>28.58</v>
      </c>
      <c r="O46" s="322">
        <f t="shared" si="11"/>
        <v>904.45600000000036</v>
      </c>
      <c r="P46" s="203"/>
      <c r="Q46" s="172">
        <v>2057</v>
      </c>
      <c r="R46" s="242">
        <f t="shared" ref="R46:R104" si="14">IF($R$14&gt;L46,K46,IF($R$14-L45&gt;0,$R$14-L45,0))</f>
        <v>0</v>
      </c>
      <c r="S46" s="380">
        <f t="shared" si="8"/>
        <v>0</v>
      </c>
      <c r="T46" s="13"/>
      <c r="U46" s="13"/>
    </row>
    <row r="47" spans="1:21" s="57" customFormat="1" ht="15" customHeight="1">
      <c r="A47" s="13"/>
      <c r="B47" s="58">
        <v>2058</v>
      </c>
      <c r="C47" s="159">
        <f t="shared" si="3"/>
        <v>1.8309909100580384E-2</v>
      </c>
      <c r="D47" s="160">
        <f t="shared" si="9"/>
        <v>84599</v>
      </c>
      <c r="E47" s="160">
        <f t="shared" si="4"/>
        <v>1549</v>
      </c>
      <c r="F47" s="160">
        <v>934</v>
      </c>
      <c r="G47" s="161">
        <v>19.03</v>
      </c>
      <c r="H47" s="161">
        <v>9.5500000000000007</v>
      </c>
      <c r="I47" s="161">
        <f t="shared" si="13"/>
        <v>647.01999999999953</v>
      </c>
      <c r="J47" s="161">
        <f t="shared" si="13"/>
        <v>324.70000000000022</v>
      </c>
      <c r="K47" s="59">
        <f t="shared" si="2"/>
        <v>28.58</v>
      </c>
      <c r="L47" s="59">
        <f t="shared" si="6"/>
        <v>943.14000000000044</v>
      </c>
      <c r="M47" s="203"/>
      <c r="N47" s="325">
        <f t="shared" si="10"/>
        <v>28.58</v>
      </c>
      <c r="O47" s="322">
        <f t="shared" si="11"/>
        <v>933.0360000000004</v>
      </c>
      <c r="P47" s="203"/>
      <c r="Q47" s="172">
        <v>2058</v>
      </c>
      <c r="R47" s="242">
        <f t="shared" si="14"/>
        <v>0</v>
      </c>
      <c r="S47" s="380">
        <f t="shared" si="8"/>
        <v>0</v>
      </c>
      <c r="T47" s="13"/>
      <c r="U47" s="13"/>
    </row>
    <row r="48" spans="1:21" s="57" customFormat="1" ht="15" customHeight="1">
      <c r="A48" s="13"/>
      <c r="B48" s="58">
        <v>2059</v>
      </c>
      <c r="C48" s="159">
        <f t="shared" si="3"/>
        <v>1.7980684403584531E-2</v>
      </c>
      <c r="D48" s="160">
        <f t="shared" si="9"/>
        <v>86148</v>
      </c>
      <c r="E48" s="160">
        <f t="shared" si="4"/>
        <v>1549</v>
      </c>
      <c r="F48" s="160">
        <v>934</v>
      </c>
      <c r="G48" s="161">
        <v>19.03</v>
      </c>
      <c r="H48" s="161">
        <v>9.5500000000000007</v>
      </c>
      <c r="I48" s="161">
        <f t="shared" si="13"/>
        <v>666.0499999999995</v>
      </c>
      <c r="J48" s="161">
        <f t="shared" si="13"/>
        <v>334.25000000000023</v>
      </c>
      <c r="K48" s="59">
        <f t="shared" si="2"/>
        <v>28.58</v>
      </c>
      <c r="L48" s="59">
        <f t="shared" si="6"/>
        <v>971.72000000000048</v>
      </c>
      <c r="M48" s="203"/>
      <c r="N48" s="325">
        <f t="shared" si="10"/>
        <v>28.58</v>
      </c>
      <c r="O48" s="322">
        <f t="shared" si="11"/>
        <v>961.61600000000044</v>
      </c>
      <c r="P48" s="203"/>
      <c r="Q48" s="172">
        <v>2059</v>
      </c>
      <c r="R48" s="242">
        <f t="shared" si="14"/>
        <v>0</v>
      </c>
      <c r="S48" s="380">
        <f t="shared" si="8"/>
        <v>0</v>
      </c>
      <c r="T48" s="13"/>
      <c r="U48" s="13"/>
    </row>
    <row r="49" spans="1:21" s="57" customFormat="1" ht="15" customHeight="1">
      <c r="A49" s="13"/>
      <c r="B49" s="58">
        <v>2060</v>
      </c>
      <c r="C49" s="159">
        <f t="shared" si="3"/>
        <v>1.7663089957467189E-2</v>
      </c>
      <c r="D49" s="160">
        <f t="shared" si="9"/>
        <v>87697</v>
      </c>
      <c r="E49" s="160">
        <f t="shared" si="4"/>
        <v>1549</v>
      </c>
      <c r="F49" s="160">
        <v>934</v>
      </c>
      <c r="G49" s="161">
        <v>19.03</v>
      </c>
      <c r="H49" s="161">
        <v>9.5500000000000007</v>
      </c>
      <c r="I49" s="161">
        <f t="shared" si="13"/>
        <v>685.07999999999947</v>
      </c>
      <c r="J49" s="161">
        <f t="shared" si="13"/>
        <v>343.80000000000024</v>
      </c>
      <c r="K49" s="59">
        <f t="shared" si="2"/>
        <v>28.58</v>
      </c>
      <c r="L49" s="59">
        <f t="shared" si="6"/>
        <v>1000.3000000000005</v>
      </c>
      <c r="M49" s="203"/>
      <c r="N49" s="325">
        <f t="shared" si="10"/>
        <v>28.58</v>
      </c>
      <c r="O49" s="322">
        <f t="shared" si="11"/>
        <v>990.19600000000048</v>
      </c>
      <c r="P49" s="203"/>
      <c r="Q49" s="172">
        <v>2060</v>
      </c>
      <c r="R49" s="242">
        <f t="shared" si="14"/>
        <v>0</v>
      </c>
      <c r="S49" s="380">
        <f t="shared" si="8"/>
        <v>0</v>
      </c>
      <c r="T49" s="13"/>
      <c r="U49" s="13"/>
    </row>
    <row r="50" spans="1:21" s="57" customFormat="1" ht="15" customHeight="1">
      <c r="A50" s="13"/>
      <c r="B50" s="58">
        <v>2061</v>
      </c>
      <c r="C50" s="159">
        <f t="shared" si="3"/>
        <v>1.7356520180176142E-2</v>
      </c>
      <c r="D50" s="160">
        <f t="shared" si="9"/>
        <v>89246</v>
      </c>
      <c r="E50" s="160">
        <f t="shared" si="4"/>
        <v>1549</v>
      </c>
      <c r="F50" s="160">
        <v>934</v>
      </c>
      <c r="G50" s="161">
        <v>19.03</v>
      </c>
      <c r="H50" s="161">
        <v>9.5500000000000007</v>
      </c>
      <c r="I50" s="161">
        <f t="shared" si="13"/>
        <v>704.10999999999945</v>
      </c>
      <c r="J50" s="161">
        <f t="shared" si="13"/>
        <v>353.35000000000025</v>
      </c>
      <c r="K50" s="59">
        <f t="shared" si="2"/>
        <v>28.58</v>
      </c>
      <c r="L50" s="59">
        <f t="shared" si="6"/>
        <v>1028.8800000000006</v>
      </c>
      <c r="M50" s="203"/>
      <c r="N50" s="325">
        <f t="shared" si="10"/>
        <v>28.58</v>
      </c>
      <c r="O50" s="322">
        <f t="shared" si="11"/>
        <v>1018.7760000000005</v>
      </c>
      <c r="P50" s="203"/>
      <c r="Q50" s="172">
        <v>2061</v>
      </c>
      <c r="R50" s="242">
        <f t="shared" si="14"/>
        <v>0</v>
      </c>
      <c r="S50" s="380">
        <f t="shared" si="8"/>
        <v>0</v>
      </c>
      <c r="T50" s="13"/>
      <c r="U50" s="13"/>
    </row>
    <row r="51" spans="1:21" s="57" customFormat="1" ht="15" customHeight="1">
      <c r="A51" s="13"/>
      <c r="B51" s="58">
        <v>2062</v>
      </c>
      <c r="C51" s="159">
        <f t="shared" si="3"/>
        <v>1.7060410815573544E-2</v>
      </c>
      <c r="D51" s="160">
        <f t="shared" si="9"/>
        <v>90795</v>
      </c>
      <c r="E51" s="160">
        <f t="shared" si="4"/>
        <v>1549</v>
      </c>
      <c r="F51" s="160">
        <v>934</v>
      </c>
      <c r="G51" s="161">
        <v>19.03</v>
      </c>
      <c r="H51" s="161">
        <v>9.5500000000000007</v>
      </c>
      <c r="I51" s="161">
        <f t="shared" si="13"/>
        <v>723.13999999999942</v>
      </c>
      <c r="J51" s="161">
        <f t="shared" si="13"/>
        <v>362.90000000000026</v>
      </c>
      <c r="K51" s="59">
        <f t="shared" si="2"/>
        <v>28.58</v>
      </c>
      <c r="L51" s="59">
        <f t="shared" si="6"/>
        <v>1057.4600000000005</v>
      </c>
      <c r="M51" s="203"/>
      <c r="N51" s="325">
        <f t="shared" si="10"/>
        <v>28.58</v>
      </c>
      <c r="O51" s="322">
        <f t="shared" si="11"/>
        <v>1047.3560000000004</v>
      </c>
      <c r="P51" s="203"/>
      <c r="Q51" s="172">
        <v>2062</v>
      </c>
      <c r="R51" s="242">
        <f t="shared" si="14"/>
        <v>0</v>
      </c>
      <c r="S51" s="380">
        <f t="shared" si="8"/>
        <v>0</v>
      </c>
      <c r="T51" s="13"/>
      <c r="U51" s="13"/>
    </row>
    <row r="52" spans="1:21" s="57" customFormat="1" ht="15" customHeight="1">
      <c r="A52" s="13"/>
      <c r="B52" s="58">
        <v>2063</v>
      </c>
      <c r="C52" s="159">
        <f t="shared" si="3"/>
        <v>1.6774235467382829E-2</v>
      </c>
      <c r="D52" s="160">
        <f t="shared" si="9"/>
        <v>92344</v>
      </c>
      <c r="E52" s="160">
        <f t="shared" si="4"/>
        <v>1549</v>
      </c>
      <c r="F52" s="160">
        <v>934</v>
      </c>
      <c r="G52" s="161">
        <v>19.03</v>
      </c>
      <c r="H52" s="161">
        <v>9.5500000000000007</v>
      </c>
      <c r="I52" s="161">
        <f t="shared" si="13"/>
        <v>742.16999999999939</v>
      </c>
      <c r="J52" s="161">
        <f t="shared" si="13"/>
        <v>372.45000000000027</v>
      </c>
      <c r="K52" s="59">
        <f t="shared" si="2"/>
        <v>28.58</v>
      </c>
      <c r="L52" s="59">
        <f t="shared" si="6"/>
        <v>1086.0400000000004</v>
      </c>
      <c r="M52" s="203"/>
      <c r="N52" s="325">
        <f t="shared" si="10"/>
        <v>28.58</v>
      </c>
      <c r="O52" s="322">
        <f t="shared" si="11"/>
        <v>1075.9360000000004</v>
      </c>
      <c r="P52" s="203"/>
      <c r="Q52" s="172">
        <v>2063</v>
      </c>
      <c r="R52" s="242">
        <f t="shared" si="14"/>
        <v>0</v>
      </c>
      <c r="S52" s="380">
        <f t="shared" si="8"/>
        <v>0</v>
      </c>
      <c r="T52" s="13"/>
      <c r="U52" s="13"/>
    </row>
    <row r="53" spans="1:21" s="57" customFormat="1" ht="15" customHeight="1">
      <c r="A53" s="13"/>
      <c r="B53" s="58">
        <v>2064</v>
      </c>
      <c r="C53" s="159">
        <f t="shared" si="3"/>
        <v>1.6497502476222933E-2</v>
      </c>
      <c r="D53" s="160">
        <f t="shared" si="9"/>
        <v>93893</v>
      </c>
      <c r="E53" s="160">
        <f t="shared" si="4"/>
        <v>1549</v>
      </c>
      <c r="F53" s="160">
        <v>934</v>
      </c>
      <c r="G53" s="161">
        <v>19.03</v>
      </c>
      <c r="H53" s="161">
        <v>9.5500000000000007</v>
      </c>
      <c r="I53" s="161">
        <f t="shared" si="13"/>
        <v>761.19999999999936</v>
      </c>
      <c r="J53" s="161">
        <f t="shared" si="13"/>
        <v>382.00000000000028</v>
      </c>
      <c r="K53" s="59">
        <f t="shared" si="2"/>
        <v>28.58</v>
      </c>
      <c r="L53" s="59">
        <f t="shared" si="6"/>
        <v>1114.6200000000003</v>
      </c>
      <c r="M53" s="203"/>
      <c r="N53" s="325">
        <f t="shared" si="10"/>
        <v>28.58</v>
      </c>
      <c r="O53" s="322">
        <f t="shared" si="11"/>
        <v>1104.5160000000003</v>
      </c>
      <c r="P53" s="203"/>
      <c r="Q53" s="172">
        <v>2064</v>
      </c>
      <c r="R53" s="242">
        <f t="shared" si="14"/>
        <v>0</v>
      </c>
      <c r="S53" s="380">
        <f t="shared" si="8"/>
        <v>0</v>
      </c>
      <c r="T53" s="13"/>
      <c r="U53" s="13"/>
    </row>
    <row r="54" spans="1:21" s="57" customFormat="1" ht="15" customHeight="1">
      <c r="A54" s="13"/>
      <c r="B54" s="58">
        <v>2065</v>
      </c>
      <c r="C54" s="159">
        <f t="shared" si="3"/>
        <v>1.6229752100752289E-2</v>
      </c>
      <c r="D54" s="160">
        <f t="shared" si="9"/>
        <v>95442</v>
      </c>
      <c r="E54" s="160">
        <f t="shared" si="4"/>
        <v>1549</v>
      </c>
      <c r="F54" s="160">
        <v>934</v>
      </c>
      <c r="G54" s="161">
        <v>19.03</v>
      </c>
      <c r="H54" s="161">
        <v>9.5500000000000007</v>
      </c>
      <c r="I54" s="161">
        <f t="shared" si="13"/>
        <v>780.22999999999934</v>
      </c>
      <c r="J54" s="161">
        <f t="shared" si="13"/>
        <v>391.5500000000003</v>
      </c>
      <c r="K54" s="59">
        <f t="shared" si="2"/>
        <v>28.58</v>
      </c>
      <c r="L54" s="59">
        <f t="shared" si="6"/>
        <v>1143.2000000000003</v>
      </c>
      <c r="M54" s="203"/>
      <c r="N54" s="325">
        <f t="shared" si="10"/>
        <v>28.58</v>
      </c>
      <c r="O54" s="322">
        <f t="shared" si="11"/>
        <v>1133.0960000000002</v>
      </c>
      <c r="P54" s="203"/>
      <c r="Q54" s="172">
        <v>2065</v>
      </c>
      <c r="R54" s="242">
        <f t="shared" si="14"/>
        <v>0</v>
      </c>
      <c r="S54" s="380">
        <f t="shared" si="8"/>
        <v>0</v>
      </c>
      <c r="T54" s="13"/>
      <c r="U54" s="13"/>
    </row>
    <row r="55" spans="1:21" s="57" customFormat="1" ht="15" customHeight="1">
      <c r="A55" s="13"/>
      <c r="B55" s="58">
        <v>2066</v>
      </c>
      <c r="C55" s="159">
        <f t="shared" si="3"/>
        <v>1.5970553968924953E-2</v>
      </c>
      <c r="D55" s="160">
        <f t="shared" si="9"/>
        <v>96991</v>
      </c>
      <c r="E55" s="160">
        <f t="shared" si="4"/>
        <v>1549</v>
      </c>
      <c r="F55" s="160">
        <v>934</v>
      </c>
      <c r="G55" s="161">
        <v>19.03</v>
      </c>
      <c r="H55" s="161">
        <v>9.5500000000000007</v>
      </c>
      <c r="I55" s="161">
        <f t="shared" si="13"/>
        <v>799.25999999999931</v>
      </c>
      <c r="J55" s="161">
        <f t="shared" si="13"/>
        <v>401.10000000000031</v>
      </c>
      <c r="K55" s="59">
        <f t="shared" si="2"/>
        <v>28.58</v>
      </c>
      <c r="L55" s="59">
        <f t="shared" si="6"/>
        <v>1171.7800000000002</v>
      </c>
      <c r="M55" s="203"/>
      <c r="N55" s="325">
        <f t="shared" si="10"/>
        <v>28.58</v>
      </c>
      <c r="O55" s="322">
        <f t="shared" si="11"/>
        <v>1161.6760000000002</v>
      </c>
      <c r="P55" s="203"/>
      <c r="Q55" s="172">
        <v>2066</v>
      </c>
      <c r="R55" s="242">
        <f t="shared" si="14"/>
        <v>0</v>
      </c>
      <c r="S55" s="380">
        <f t="shared" si="8"/>
        <v>0</v>
      </c>
      <c r="T55" s="13"/>
      <c r="U55" s="13"/>
    </row>
    <row r="56" spans="1:21" s="57" customFormat="1" ht="15" customHeight="1">
      <c r="A56" s="13"/>
      <c r="B56" s="58">
        <v>2067</v>
      </c>
      <c r="C56" s="159">
        <f t="shared" si="3"/>
        <v>1.5719504769636697E-2</v>
      </c>
      <c r="D56" s="160">
        <f t="shared" si="9"/>
        <v>98540</v>
      </c>
      <c r="E56" s="160">
        <f t="shared" si="4"/>
        <v>1549</v>
      </c>
      <c r="F56" s="160">
        <v>934</v>
      </c>
      <c r="G56" s="161">
        <v>19.03</v>
      </c>
      <c r="H56" s="161">
        <v>9.5500000000000007</v>
      </c>
      <c r="I56" s="161">
        <f t="shared" si="13"/>
        <v>818.28999999999928</v>
      </c>
      <c r="J56" s="161">
        <f t="shared" si="13"/>
        <v>410.65000000000032</v>
      </c>
      <c r="K56" s="59">
        <f t="shared" si="2"/>
        <v>28.58</v>
      </c>
      <c r="L56" s="59">
        <f t="shared" si="6"/>
        <v>1200.3600000000001</v>
      </c>
      <c r="M56" s="203"/>
      <c r="N56" s="325">
        <f t="shared" si="10"/>
        <v>28.58</v>
      </c>
      <c r="O56" s="322">
        <f t="shared" si="11"/>
        <v>1190.2560000000001</v>
      </c>
      <c r="P56" s="203"/>
      <c r="Q56" s="172">
        <v>2067</v>
      </c>
      <c r="R56" s="242">
        <f t="shared" si="14"/>
        <v>0</v>
      </c>
      <c r="S56" s="380">
        <f t="shared" si="8"/>
        <v>0</v>
      </c>
      <c r="T56" s="13"/>
      <c r="U56" s="13"/>
    </row>
    <row r="57" spans="1:21" s="57" customFormat="1" ht="15" customHeight="1">
      <c r="A57" s="13"/>
      <c r="B57" s="58">
        <v>2068</v>
      </c>
      <c r="C57" s="159">
        <f t="shared" si="3"/>
        <v>1.547622615871874E-2</v>
      </c>
      <c r="D57" s="160">
        <f t="shared" si="9"/>
        <v>100089</v>
      </c>
      <c r="E57" s="160">
        <f t="shared" si="4"/>
        <v>1549</v>
      </c>
      <c r="F57" s="160">
        <v>934</v>
      </c>
      <c r="G57" s="161">
        <v>19.03</v>
      </c>
      <c r="H57" s="161">
        <v>9.5500000000000007</v>
      </c>
      <c r="I57" s="161">
        <f t="shared" si="13"/>
        <v>837.31999999999925</v>
      </c>
      <c r="J57" s="161">
        <f t="shared" si="13"/>
        <v>420.20000000000033</v>
      </c>
      <c r="K57" s="59">
        <f t="shared" si="2"/>
        <v>28.58</v>
      </c>
      <c r="L57" s="59">
        <f t="shared" si="6"/>
        <v>1228.94</v>
      </c>
      <c r="M57" s="203"/>
      <c r="N57" s="325">
        <f t="shared" si="10"/>
        <v>28.58</v>
      </c>
      <c r="O57" s="322">
        <f t="shared" si="11"/>
        <v>1218.836</v>
      </c>
      <c r="P57" s="203"/>
      <c r="Q57" s="172">
        <v>2068</v>
      </c>
      <c r="R57" s="242">
        <f t="shared" si="14"/>
        <v>0</v>
      </c>
      <c r="S57" s="380">
        <f t="shared" si="8"/>
        <v>0</v>
      </c>
      <c r="T57" s="13"/>
      <c r="U57" s="13"/>
    </row>
    <row r="58" spans="1:21" ht="15" customHeight="1">
      <c r="B58" s="58">
        <v>2069</v>
      </c>
      <c r="C58" s="159">
        <f t="shared" si="3"/>
        <v>1.5240362856411971E-2</v>
      </c>
      <c r="D58" s="160">
        <f t="shared" si="9"/>
        <v>101638</v>
      </c>
      <c r="E58" s="160">
        <f t="shared" si="4"/>
        <v>1549</v>
      </c>
      <c r="F58" s="160">
        <v>934</v>
      </c>
      <c r="G58" s="161">
        <v>19.03</v>
      </c>
      <c r="H58" s="161">
        <v>9.5500000000000007</v>
      </c>
      <c r="I58" s="161">
        <f t="shared" si="13"/>
        <v>856.34999999999923</v>
      </c>
      <c r="J58" s="161">
        <f t="shared" si="13"/>
        <v>429.75000000000034</v>
      </c>
      <c r="K58" s="59">
        <f t="shared" si="2"/>
        <v>28.58</v>
      </c>
      <c r="L58" s="59">
        <f t="shared" si="6"/>
        <v>1257.52</v>
      </c>
      <c r="M58" s="203"/>
      <c r="N58" s="325">
        <f t="shared" si="10"/>
        <v>28.58</v>
      </c>
      <c r="O58" s="322">
        <f t="shared" si="11"/>
        <v>1247.4159999999999</v>
      </c>
      <c r="P58" s="203"/>
      <c r="Q58" s="172">
        <v>2069</v>
      </c>
      <c r="R58" s="242">
        <f t="shared" si="14"/>
        <v>0</v>
      </c>
      <c r="S58" s="380">
        <f t="shared" si="8"/>
        <v>0</v>
      </c>
    </row>
    <row r="59" spans="1:21" ht="15" customHeight="1">
      <c r="B59" s="58">
        <v>2070</v>
      </c>
      <c r="C59" s="159">
        <f t="shared" si="3"/>
        <v>1.5011580916200685E-2</v>
      </c>
      <c r="D59" s="160">
        <f t="shared" si="9"/>
        <v>103187</v>
      </c>
      <c r="E59" s="160">
        <f t="shared" si="4"/>
        <v>1549</v>
      </c>
      <c r="F59" s="160">
        <v>934</v>
      </c>
      <c r="G59" s="161">
        <v>19.03</v>
      </c>
      <c r="H59" s="161">
        <v>9.5500000000000007</v>
      </c>
      <c r="I59" s="161">
        <f t="shared" si="13"/>
        <v>875.3799999999992</v>
      </c>
      <c r="J59" s="161">
        <f t="shared" si="13"/>
        <v>439.30000000000035</v>
      </c>
      <c r="K59" s="59">
        <f t="shared" si="2"/>
        <v>28.58</v>
      </c>
      <c r="L59" s="59">
        <f t="shared" si="6"/>
        <v>1286.0999999999999</v>
      </c>
      <c r="M59" s="203"/>
      <c r="N59" s="325">
        <f t="shared" si="10"/>
        <v>28.58</v>
      </c>
      <c r="O59" s="322">
        <f t="shared" si="11"/>
        <v>1275.9959999999999</v>
      </c>
      <c r="P59" s="203"/>
      <c r="Q59" s="172">
        <v>2070</v>
      </c>
      <c r="R59" s="242">
        <f t="shared" si="14"/>
        <v>0</v>
      </c>
      <c r="S59" s="380">
        <f t="shared" si="8"/>
        <v>0</v>
      </c>
    </row>
    <row r="60" spans="1:21" ht="15" customHeight="1">
      <c r="B60" s="58">
        <v>2071</v>
      </c>
      <c r="C60" s="159">
        <f t="shared" si="3"/>
        <v>1.4789566147265506E-2</v>
      </c>
      <c r="D60" s="160">
        <f t="shared" si="9"/>
        <v>104736</v>
      </c>
      <c r="E60" s="160">
        <f t="shared" si="4"/>
        <v>1549</v>
      </c>
      <c r="F60" s="160">
        <v>934</v>
      </c>
      <c r="G60" s="161">
        <v>19.03</v>
      </c>
      <c r="H60" s="161">
        <v>9.5500000000000007</v>
      </c>
      <c r="I60" s="161">
        <f t="shared" si="13"/>
        <v>894.40999999999917</v>
      </c>
      <c r="J60" s="161">
        <f t="shared" si="13"/>
        <v>448.85000000000036</v>
      </c>
      <c r="K60" s="59">
        <f t="shared" si="2"/>
        <v>28.58</v>
      </c>
      <c r="L60" s="59">
        <f t="shared" si="6"/>
        <v>1314.6799999999998</v>
      </c>
      <c r="M60" s="203"/>
      <c r="N60" s="325">
        <f t="shared" si="10"/>
        <v>28.58</v>
      </c>
      <c r="O60" s="322">
        <f t="shared" si="11"/>
        <v>1304.5759999999998</v>
      </c>
      <c r="P60" s="203"/>
      <c r="Q60" s="172">
        <v>2071</v>
      </c>
      <c r="R60" s="242">
        <f t="shared" si="14"/>
        <v>0</v>
      </c>
      <c r="S60" s="380">
        <f t="shared" si="8"/>
        <v>0</v>
      </c>
    </row>
    <row r="61" spans="1:21" ht="15" customHeight="1">
      <c r="B61" s="58">
        <v>2072</v>
      </c>
      <c r="C61" s="159">
        <f t="shared" si="3"/>
        <v>1.4574022674883568E-2</v>
      </c>
      <c r="D61" s="160">
        <f t="shared" si="9"/>
        <v>106285</v>
      </c>
      <c r="E61" s="160">
        <f t="shared" si="4"/>
        <v>1549</v>
      </c>
      <c r="F61" s="160">
        <v>934</v>
      </c>
      <c r="G61" s="161">
        <v>19.03</v>
      </c>
      <c r="H61" s="161">
        <v>9.5500000000000007</v>
      </c>
      <c r="I61" s="161">
        <f t="shared" si="13"/>
        <v>913.43999999999915</v>
      </c>
      <c r="J61" s="161">
        <f t="shared" si="13"/>
        <v>458.40000000000038</v>
      </c>
      <c r="K61" s="59">
        <f t="shared" si="2"/>
        <v>28.58</v>
      </c>
      <c r="L61" s="59">
        <f t="shared" si="6"/>
        <v>1343.2599999999998</v>
      </c>
      <c r="M61" s="203"/>
      <c r="N61" s="325">
        <f t="shared" si="10"/>
        <v>28.58</v>
      </c>
      <c r="O61" s="322">
        <f t="shared" si="11"/>
        <v>1333.1559999999997</v>
      </c>
      <c r="P61" s="203"/>
      <c r="Q61" s="172">
        <v>2072</v>
      </c>
      <c r="R61" s="242">
        <f t="shared" si="14"/>
        <v>0</v>
      </c>
      <c r="S61" s="380">
        <f t="shared" si="8"/>
        <v>0</v>
      </c>
    </row>
    <row r="62" spans="1:21" ht="15" customHeight="1">
      <c r="B62" s="58">
        <v>2073</v>
      </c>
      <c r="C62" s="159">
        <f t="shared" si="3"/>
        <v>1.4364671624904946E-2</v>
      </c>
      <c r="D62" s="160">
        <f t="shared" si="9"/>
        <v>107834</v>
      </c>
      <c r="E62" s="160">
        <f t="shared" si="4"/>
        <v>1549</v>
      </c>
      <c r="F62" s="160">
        <v>934</v>
      </c>
      <c r="G62" s="161">
        <v>19.03</v>
      </c>
      <c r="H62" s="161">
        <v>9.5500000000000007</v>
      </c>
      <c r="I62" s="161">
        <f t="shared" ref="I62:J77" si="15">+G62+I61</f>
        <v>932.46999999999912</v>
      </c>
      <c r="J62" s="161">
        <f t="shared" si="15"/>
        <v>467.95000000000039</v>
      </c>
      <c r="K62" s="59">
        <f t="shared" si="2"/>
        <v>28.58</v>
      </c>
      <c r="L62" s="59">
        <f t="shared" si="6"/>
        <v>1371.8399999999997</v>
      </c>
      <c r="M62" s="203"/>
      <c r="N62" s="325">
        <f t="shared" si="10"/>
        <v>28.58</v>
      </c>
      <c r="O62" s="322">
        <f t="shared" si="11"/>
        <v>1361.7359999999996</v>
      </c>
      <c r="P62" s="203"/>
      <c r="Q62" s="172">
        <v>2073</v>
      </c>
      <c r="R62" s="242">
        <f t="shared" si="14"/>
        <v>0</v>
      </c>
      <c r="S62" s="380">
        <f t="shared" si="8"/>
        <v>0</v>
      </c>
    </row>
    <row r="63" spans="1:21" ht="15" customHeight="1">
      <c r="B63" s="58">
        <v>2074</v>
      </c>
      <c r="C63" s="159">
        <f t="shared" si="3"/>
        <v>1.4161249920005852E-2</v>
      </c>
      <c r="D63" s="160">
        <f t="shared" si="9"/>
        <v>109383</v>
      </c>
      <c r="E63" s="160">
        <f t="shared" si="4"/>
        <v>1549</v>
      </c>
      <c r="F63" s="160">
        <v>934</v>
      </c>
      <c r="G63" s="161">
        <v>19.03</v>
      </c>
      <c r="H63" s="161">
        <v>9.5500000000000007</v>
      </c>
      <c r="I63" s="161">
        <f t="shared" si="15"/>
        <v>951.49999999999909</v>
      </c>
      <c r="J63" s="161">
        <f t="shared" si="15"/>
        <v>477.5000000000004</v>
      </c>
      <c r="K63" s="59">
        <f t="shared" si="2"/>
        <v>28.58</v>
      </c>
      <c r="L63" s="59">
        <f t="shared" si="6"/>
        <v>1400.4199999999996</v>
      </c>
      <c r="M63" s="203"/>
      <c r="N63" s="325">
        <f t="shared" si="10"/>
        <v>28.58</v>
      </c>
      <c r="O63" s="322">
        <f t="shared" si="11"/>
        <v>1390.3159999999996</v>
      </c>
      <c r="P63" s="203"/>
      <c r="Q63" s="172">
        <v>2074</v>
      </c>
      <c r="R63" s="242">
        <f t="shared" si="14"/>
        <v>0</v>
      </c>
      <c r="S63" s="380">
        <f t="shared" si="8"/>
        <v>0</v>
      </c>
    </row>
    <row r="64" spans="1:21" ht="15" customHeight="1">
      <c r="B64" s="58">
        <v>2075</v>
      </c>
      <c r="C64" s="159">
        <f t="shared" si="3"/>
        <v>1.3963509176792991E-2</v>
      </c>
      <c r="D64" s="160">
        <f t="shared" si="9"/>
        <v>110932</v>
      </c>
      <c r="E64" s="160">
        <f t="shared" si="4"/>
        <v>1549</v>
      </c>
      <c r="F64" s="160">
        <v>934</v>
      </c>
      <c r="G64" s="161">
        <v>19.03</v>
      </c>
      <c r="H64" s="161">
        <v>9.5500000000000007</v>
      </c>
      <c r="I64" s="161">
        <f t="shared" si="15"/>
        <v>970.52999999999906</v>
      </c>
      <c r="J64" s="161">
        <f t="shared" si="15"/>
        <v>487.05000000000041</v>
      </c>
      <c r="K64" s="59">
        <f t="shared" si="2"/>
        <v>28.58</v>
      </c>
      <c r="L64" s="59">
        <f t="shared" si="6"/>
        <v>1428.9999999999995</v>
      </c>
      <c r="M64" s="203"/>
      <c r="N64" s="325">
        <f t="shared" si="10"/>
        <v>28.58</v>
      </c>
      <c r="O64" s="322">
        <f t="shared" si="11"/>
        <v>1418.8959999999995</v>
      </c>
      <c r="P64" s="203"/>
      <c r="Q64" s="172">
        <v>2075</v>
      </c>
      <c r="R64" s="242">
        <f t="shared" si="14"/>
        <v>0</v>
      </c>
      <c r="S64" s="380">
        <f t="shared" si="8"/>
        <v>0</v>
      </c>
    </row>
    <row r="65" spans="1:21" ht="15" customHeight="1">
      <c r="B65" s="58">
        <v>2076</v>
      </c>
      <c r="C65" s="159">
        <f t="shared" si="3"/>
        <v>1.3771214694037215E-2</v>
      </c>
      <c r="D65" s="160">
        <f t="shared" si="9"/>
        <v>112481</v>
      </c>
      <c r="E65" s="160">
        <f t="shared" si="4"/>
        <v>1549</v>
      </c>
      <c r="F65" s="160">
        <v>934</v>
      </c>
      <c r="G65" s="161">
        <v>19.03</v>
      </c>
      <c r="H65" s="161">
        <v>9.5500000000000007</v>
      </c>
      <c r="I65" s="161">
        <f t="shared" si="15"/>
        <v>989.55999999999904</v>
      </c>
      <c r="J65" s="161">
        <f t="shared" si="15"/>
        <v>496.60000000000042</v>
      </c>
      <c r="K65" s="59">
        <f t="shared" si="2"/>
        <v>28.58</v>
      </c>
      <c r="L65" s="59">
        <f t="shared" si="6"/>
        <v>1457.5799999999995</v>
      </c>
      <c r="M65" s="203"/>
      <c r="N65" s="325">
        <f t="shared" si="10"/>
        <v>28.58</v>
      </c>
      <c r="O65" s="322">
        <f t="shared" si="11"/>
        <v>1447.4759999999994</v>
      </c>
      <c r="P65" s="203"/>
      <c r="Q65" s="172">
        <v>2076</v>
      </c>
      <c r="R65" s="242">
        <f t="shared" si="14"/>
        <v>0</v>
      </c>
      <c r="S65" s="380">
        <f t="shared" si="8"/>
        <v>0</v>
      </c>
    </row>
    <row r="66" spans="1:21" ht="15" customHeight="1">
      <c r="B66" s="58">
        <v>2077</v>
      </c>
      <c r="C66" s="159">
        <f t="shared" si="3"/>
        <v>1.3584144523371042E-2</v>
      </c>
      <c r="D66" s="160">
        <f t="shared" si="9"/>
        <v>114030</v>
      </c>
      <c r="E66" s="160">
        <f t="shared" si="4"/>
        <v>1549</v>
      </c>
      <c r="F66" s="160">
        <v>934</v>
      </c>
      <c r="G66" s="161">
        <v>19.03</v>
      </c>
      <c r="H66" s="161">
        <v>9.5500000000000007</v>
      </c>
      <c r="I66" s="161">
        <f t="shared" si="15"/>
        <v>1008.589999999999</v>
      </c>
      <c r="J66" s="161">
        <f t="shared" si="15"/>
        <v>506.15000000000043</v>
      </c>
      <c r="K66" s="59">
        <f t="shared" si="2"/>
        <v>28.58</v>
      </c>
      <c r="L66" s="59">
        <f t="shared" si="6"/>
        <v>1486.1599999999994</v>
      </c>
      <c r="M66" s="203"/>
      <c r="N66" s="325">
        <f t="shared" si="10"/>
        <v>28.58</v>
      </c>
      <c r="O66" s="322">
        <f t="shared" si="11"/>
        <v>1476.0559999999994</v>
      </c>
      <c r="P66" s="203"/>
      <c r="Q66" s="172">
        <v>2077</v>
      </c>
      <c r="R66" s="242">
        <f t="shared" si="14"/>
        <v>0</v>
      </c>
      <c r="S66" s="380">
        <f t="shared" si="8"/>
        <v>0</v>
      </c>
    </row>
    <row r="67" spans="1:21" ht="15" customHeight="1">
      <c r="B67" s="58">
        <v>2078</v>
      </c>
      <c r="C67" s="159">
        <f t="shared" si="3"/>
        <v>1.3402088614713746E-2</v>
      </c>
      <c r="D67" s="160">
        <f t="shared" si="9"/>
        <v>115579</v>
      </c>
      <c r="E67" s="160">
        <f t="shared" si="4"/>
        <v>1549</v>
      </c>
      <c r="F67" s="160">
        <v>934</v>
      </c>
      <c r="G67" s="161">
        <v>19.03</v>
      </c>
      <c r="H67" s="161">
        <v>9.5500000000000007</v>
      </c>
      <c r="I67" s="161">
        <f t="shared" si="15"/>
        <v>1027.619999999999</v>
      </c>
      <c r="J67" s="161">
        <f t="shared" si="15"/>
        <v>515.70000000000039</v>
      </c>
      <c r="K67" s="59">
        <f t="shared" si="2"/>
        <v>28.58</v>
      </c>
      <c r="L67" s="59">
        <f t="shared" si="6"/>
        <v>1514.7399999999993</v>
      </c>
      <c r="M67" s="203"/>
      <c r="N67" s="325">
        <f t="shared" si="10"/>
        <v>28.58</v>
      </c>
      <c r="O67" s="322">
        <f t="shared" si="11"/>
        <v>1504.6359999999993</v>
      </c>
      <c r="P67" s="203"/>
      <c r="Q67" s="172">
        <v>2078</v>
      </c>
      <c r="R67" s="242">
        <f t="shared" si="14"/>
        <v>0</v>
      </c>
      <c r="S67" s="380">
        <f t="shared" si="8"/>
        <v>0</v>
      </c>
    </row>
    <row r="68" spans="1:21" ht="15" customHeight="1">
      <c r="B68" s="58">
        <v>2079</v>
      </c>
      <c r="C68" s="159">
        <f t="shared" si="3"/>
        <v>1.3224848029506181E-2</v>
      </c>
      <c r="D68" s="160">
        <f t="shared" si="9"/>
        <v>117128</v>
      </c>
      <c r="E68" s="160">
        <f t="shared" si="4"/>
        <v>1549</v>
      </c>
      <c r="F68" s="160">
        <v>934</v>
      </c>
      <c r="G68" s="161">
        <v>19.03</v>
      </c>
      <c r="H68" s="161">
        <v>9.5500000000000007</v>
      </c>
      <c r="I68" s="161">
        <f t="shared" si="15"/>
        <v>1046.649999999999</v>
      </c>
      <c r="J68" s="161">
        <f t="shared" si="15"/>
        <v>525.25000000000034</v>
      </c>
      <c r="K68" s="59">
        <f t="shared" si="2"/>
        <v>28.58</v>
      </c>
      <c r="L68" s="59">
        <f t="shared" si="6"/>
        <v>1543.3199999999993</v>
      </c>
      <c r="M68" s="203"/>
      <c r="N68" s="325">
        <f t="shared" si="10"/>
        <v>28.58</v>
      </c>
      <c r="O68" s="322">
        <f t="shared" si="11"/>
        <v>1533.2159999999992</v>
      </c>
      <c r="P68" s="203"/>
      <c r="Q68" s="172">
        <v>2079</v>
      </c>
      <c r="R68" s="242">
        <f t="shared" si="14"/>
        <v>0</v>
      </c>
      <c r="S68" s="380">
        <f t="shared" si="8"/>
        <v>0</v>
      </c>
    </row>
    <row r="69" spans="1:21" s="57" customFormat="1" ht="15" customHeight="1">
      <c r="A69" s="13"/>
      <c r="B69" s="58">
        <v>2080</v>
      </c>
      <c r="C69" s="159">
        <f t="shared" si="3"/>
        <v>1.3052234215559882E-2</v>
      </c>
      <c r="D69" s="160">
        <f t="shared" si="9"/>
        <v>118677</v>
      </c>
      <c r="E69" s="160">
        <f t="shared" si="4"/>
        <v>1549</v>
      </c>
      <c r="F69" s="160">
        <v>934</v>
      </c>
      <c r="G69" s="161">
        <v>19.03</v>
      </c>
      <c r="H69" s="161">
        <v>9.5500000000000007</v>
      </c>
      <c r="I69" s="161">
        <f t="shared" si="15"/>
        <v>1065.6799999999989</v>
      </c>
      <c r="J69" s="161">
        <f t="shared" si="15"/>
        <v>534.8000000000003</v>
      </c>
      <c r="K69" s="59">
        <f t="shared" si="2"/>
        <v>28.58</v>
      </c>
      <c r="L69" s="59">
        <f t="shared" si="6"/>
        <v>1571.8999999999992</v>
      </c>
      <c r="M69" s="203"/>
      <c r="N69" s="325">
        <f t="shared" si="10"/>
        <v>28.58</v>
      </c>
      <c r="O69" s="322">
        <f t="shared" si="11"/>
        <v>1561.7959999999991</v>
      </c>
      <c r="P69" s="203"/>
      <c r="Q69" s="172">
        <v>2080</v>
      </c>
      <c r="R69" s="242">
        <f t="shared" si="14"/>
        <v>0</v>
      </c>
      <c r="S69" s="380">
        <f t="shared" si="8"/>
        <v>0</v>
      </c>
      <c r="T69" s="13"/>
      <c r="U69" s="13"/>
    </row>
    <row r="70" spans="1:21" s="57" customFormat="1" ht="15" customHeight="1">
      <c r="A70" s="13"/>
      <c r="B70" s="58">
        <v>2081</v>
      </c>
      <c r="C70" s="159">
        <f t="shared" si="3"/>
        <v>1.2884068337963503E-2</v>
      </c>
      <c r="D70" s="160">
        <f t="shared" si="9"/>
        <v>120226</v>
      </c>
      <c r="E70" s="160">
        <f t="shared" si="4"/>
        <v>1549</v>
      </c>
      <c r="F70" s="160">
        <v>934</v>
      </c>
      <c r="G70" s="161">
        <v>19.03</v>
      </c>
      <c r="H70" s="161">
        <v>9.5500000000000007</v>
      </c>
      <c r="I70" s="161">
        <f t="shared" si="15"/>
        <v>1084.7099999999989</v>
      </c>
      <c r="J70" s="161">
        <f t="shared" si="15"/>
        <v>544.35000000000025</v>
      </c>
      <c r="K70" s="59">
        <f t="shared" si="2"/>
        <v>28.58</v>
      </c>
      <c r="L70" s="59">
        <f t="shared" si="6"/>
        <v>1600.4799999999991</v>
      </c>
      <c r="M70" s="203"/>
      <c r="N70" s="325">
        <f t="shared" si="10"/>
        <v>28.58</v>
      </c>
      <c r="O70" s="322">
        <f t="shared" si="11"/>
        <v>1590.3759999999991</v>
      </c>
      <c r="P70" s="203"/>
      <c r="Q70" s="172">
        <v>2081</v>
      </c>
      <c r="R70" s="242">
        <f t="shared" si="14"/>
        <v>0</v>
      </c>
      <c r="S70" s="380">
        <f t="shared" si="8"/>
        <v>0</v>
      </c>
      <c r="T70" s="13"/>
      <c r="U70" s="13"/>
    </row>
    <row r="71" spans="1:21" s="57" customFormat="1" ht="15" customHeight="1">
      <c r="A71" s="13"/>
      <c r="B71" s="58">
        <v>2082</v>
      </c>
      <c r="C71" s="159">
        <f t="shared" si="3"/>
        <v>1.2720180661055226E-2</v>
      </c>
      <c r="D71" s="160">
        <f t="shared" si="9"/>
        <v>121775</v>
      </c>
      <c r="E71" s="160">
        <f t="shared" si="4"/>
        <v>1549</v>
      </c>
      <c r="F71" s="160">
        <v>934</v>
      </c>
      <c r="G71" s="161">
        <v>19.03</v>
      </c>
      <c r="H71" s="161">
        <v>9.5500000000000007</v>
      </c>
      <c r="I71" s="161">
        <f t="shared" si="15"/>
        <v>1103.7399999999989</v>
      </c>
      <c r="J71" s="161">
        <f t="shared" si="15"/>
        <v>553.9000000000002</v>
      </c>
      <c r="K71" s="59">
        <f t="shared" si="2"/>
        <v>28.58</v>
      </c>
      <c r="L71" s="59">
        <f t="shared" si="6"/>
        <v>1629.059999999999</v>
      </c>
      <c r="M71" s="203"/>
      <c r="N71" s="325">
        <f t="shared" si="10"/>
        <v>28.58</v>
      </c>
      <c r="O71" s="322">
        <f t="shared" si="11"/>
        <v>1618.955999999999</v>
      </c>
      <c r="P71" s="203"/>
      <c r="Q71" s="172">
        <v>2082</v>
      </c>
      <c r="R71" s="242">
        <f t="shared" si="14"/>
        <v>0</v>
      </c>
      <c r="S71" s="380">
        <f t="shared" si="8"/>
        <v>0</v>
      </c>
      <c r="T71" s="13"/>
      <c r="U71" s="13"/>
    </row>
    <row r="72" spans="1:21" s="57" customFormat="1" ht="15" customHeight="1">
      <c r="A72" s="13"/>
      <c r="B72" s="58">
        <v>2083</v>
      </c>
      <c r="C72" s="159">
        <f t="shared" si="3"/>
        <v>1.2560409976971229E-2</v>
      </c>
      <c r="D72" s="160">
        <f t="shared" si="9"/>
        <v>123324</v>
      </c>
      <c r="E72" s="160">
        <f t="shared" si="4"/>
        <v>1549</v>
      </c>
      <c r="F72" s="160">
        <v>934</v>
      </c>
      <c r="G72" s="161">
        <v>19.03</v>
      </c>
      <c r="H72" s="161">
        <v>9.5500000000000007</v>
      </c>
      <c r="I72" s="161">
        <f t="shared" si="15"/>
        <v>1122.7699999999988</v>
      </c>
      <c r="J72" s="161">
        <f t="shared" si="15"/>
        <v>563.45000000000016</v>
      </c>
      <c r="K72" s="59">
        <f t="shared" si="2"/>
        <v>28.58</v>
      </c>
      <c r="L72" s="59">
        <f t="shared" si="6"/>
        <v>1657.639999999999</v>
      </c>
      <c r="M72" s="203"/>
      <c r="N72" s="325">
        <f t="shared" si="10"/>
        <v>28.58</v>
      </c>
      <c r="O72" s="322">
        <f t="shared" si="11"/>
        <v>1647.5359999999989</v>
      </c>
      <c r="P72" s="203"/>
      <c r="Q72" s="172">
        <v>2083</v>
      </c>
      <c r="R72" s="242">
        <f t="shared" si="14"/>
        <v>0</v>
      </c>
      <c r="S72" s="380">
        <f t="shared" si="8"/>
        <v>0</v>
      </c>
      <c r="T72" s="13"/>
      <c r="U72" s="13"/>
    </row>
    <row r="73" spans="1:21" s="57" customFormat="1" ht="15" customHeight="1">
      <c r="A73" s="13"/>
      <c r="B73" s="58">
        <v>2084</v>
      </c>
      <c r="C73" s="159">
        <f t="shared" si="3"/>
        <v>1.2404603076725954E-2</v>
      </c>
      <c r="D73" s="160">
        <f t="shared" si="9"/>
        <v>124873</v>
      </c>
      <c r="E73" s="160">
        <f t="shared" si="4"/>
        <v>1549</v>
      </c>
      <c r="F73" s="160">
        <v>934</v>
      </c>
      <c r="G73" s="161">
        <v>19.03</v>
      </c>
      <c r="H73" s="161">
        <v>9.5500000000000007</v>
      </c>
      <c r="I73" s="161">
        <f t="shared" si="15"/>
        <v>1141.7999999999988</v>
      </c>
      <c r="J73" s="161">
        <f t="shared" si="15"/>
        <v>573.00000000000011</v>
      </c>
      <c r="K73" s="59">
        <f t="shared" si="2"/>
        <v>28.58</v>
      </c>
      <c r="L73" s="59">
        <f t="shared" si="6"/>
        <v>1686.2199999999989</v>
      </c>
      <c r="M73" s="203"/>
      <c r="N73" s="325">
        <f t="shared" si="10"/>
        <v>28.58</v>
      </c>
      <c r="O73" s="322">
        <f t="shared" si="11"/>
        <v>1676.1159999999988</v>
      </c>
      <c r="P73" s="203"/>
      <c r="Q73" s="172">
        <v>2084</v>
      </c>
      <c r="R73" s="242">
        <f t="shared" si="14"/>
        <v>0</v>
      </c>
      <c r="S73" s="380">
        <f t="shared" si="8"/>
        <v>0</v>
      </c>
      <c r="T73" s="13"/>
      <c r="U73" s="13"/>
    </row>
    <row r="74" spans="1:21" s="57" customFormat="1" ht="15" customHeight="1">
      <c r="A74" s="13"/>
      <c r="B74" s="58">
        <v>2085</v>
      </c>
      <c r="C74" s="159">
        <f t="shared" si="3"/>
        <v>1.2252614260176235E-2</v>
      </c>
      <c r="D74" s="160">
        <f t="shared" si="9"/>
        <v>126422</v>
      </c>
      <c r="E74" s="160">
        <f t="shared" si="4"/>
        <v>1549</v>
      </c>
      <c r="F74" s="160">
        <v>934</v>
      </c>
      <c r="G74" s="161">
        <v>19.03</v>
      </c>
      <c r="H74" s="161">
        <v>9.5500000000000007</v>
      </c>
      <c r="I74" s="161">
        <f t="shared" si="15"/>
        <v>1160.8299999999988</v>
      </c>
      <c r="J74" s="161">
        <f t="shared" si="15"/>
        <v>582.55000000000007</v>
      </c>
      <c r="K74" s="59">
        <f t="shared" si="2"/>
        <v>28.58</v>
      </c>
      <c r="L74" s="59">
        <f t="shared" si="6"/>
        <v>1714.7999999999988</v>
      </c>
      <c r="M74" s="203"/>
      <c r="N74" s="325">
        <f t="shared" si="10"/>
        <v>28.58</v>
      </c>
      <c r="O74" s="322">
        <f t="shared" si="11"/>
        <v>1704.6959999999988</v>
      </c>
      <c r="P74" s="203"/>
      <c r="Q74" s="172">
        <v>2085</v>
      </c>
      <c r="R74" s="242">
        <f t="shared" si="14"/>
        <v>0</v>
      </c>
      <c r="S74" s="380">
        <f t="shared" si="8"/>
        <v>0</v>
      </c>
      <c r="T74" s="13"/>
      <c r="U74" s="13"/>
    </row>
    <row r="75" spans="1:21" s="57" customFormat="1" ht="15" customHeight="1">
      <c r="A75" s="13"/>
      <c r="B75" s="58">
        <v>2086</v>
      </c>
      <c r="C75" s="159">
        <f t="shared" si="3"/>
        <v>1.2104304881574731E-2</v>
      </c>
      <c r="D75" s="160">
        <f t="shared" si="9"/>
        <v>127971</v>
      </c>
      <c r="E75" s="160">
        <f t="shared" si="4"/>
        <v>1549</v>
      </c>
      <c r="F75" s="160">
        <v>934</v>
      </c>
      <c r="G75" s="161">
        <v>19.03</v>
      </c>
      <c r="H75" s="161">
        <v>9.5500000000000007</v>
      </c>
      <c r="I75" s="161">
        <f t="shared" si="15"/>
        <v>1179.8599999999988</v>
      </c>
      <c r="J75" s="161">
        <f t="shared" si="15"/>
        <v>592.1</v>
      </c>
      <c r="K75" s="59">
        <f t="shared" si="2"/>
        <v>28.58</v>
      </c>
      <c r="L75" s="59">
        <f t="shared" si="6"/>
        <v>1743.3799999999987</v>
      </c>
      <c r="M75" s="203"/>
      <c r="N75" s="325">
        <f t="shared" si="10"/>
        <v>28.58</v>
      </c>
      <c r="O75" s="322">
        <f t="shared" si="11"/>
        <v>1733.2759999999987</v>
      </c>
      <c r="P75" s="203"/>
      <c r="Q75" s="172">
        <v>2086</v>
      </c>
      <c r="R75" s="242">
        <f t="shared" si="14"/>
        <v>0</v>
      </c>
      <c r="S75" s="380">
        <f t="shared" si="8"/>
        <v>0</v>
      </c>
      <c r="T75" s="13"/>
      <c r="U75" s="13"/>
    </row>
    <row r="76" spans="1:21" s="57" customFormat="1" ht="15" customHeight="1">
      <c r="A76" s="13"/>
      <c r="B76" s="58">
        <v>2087</v>
      </c>
      <c r="C76" s="159">
        <f t="shared" si="3"/>
        <v>1.1959542927733168E-2</v>
      </c>
      <c r="D76" s="160">
        <f t="shared" si="9"/>
        <v>129520</v>
      </c>
      <c r="E76" s="160">
        <f t="shared" si="4"/>
        <v>1549</v>
      </c>
      <c r="F76" s="160">
        <v>934</v>
      </c>
      <c r="G76" s="161">
        <v>19.03</v>
      </c>
      <c r="H76" s="161">
        <v>9.5500000000000007</v>
      </c>
      <c r="I76" s="161">
        <f t="shared" si="15"/>
        <v>1198.8899999999987</v>
      </c>
      <c r="J76" s="161">
        <f t="shared" si="15"/>
        <v>601.65</v>
      </c>
      <c r="K76" s="59">
        <f t="shared" si="2"/>
        <v>28.58</v>
      </c>
      <c r="L76" s="59">
        <f t="shared" si="6"/>
        <v>1771.9599999999987</v>
      </c>
      <c r="M76" s="203"/>
      <c r="N76" s="325">
        <f t="shared" si="10"/>
        <v>28.58</v>
      </c>
      <c r="O76" s="322">
        <f t="shared" si="11"/>
        <v>1761.8559999999986</v>
      </c>
      <c r="P76" s="203"/>
      <c r="Q76" s="172">
        <v>2087</v>
      </c>
      <c r="R76" s="242">
        <f t="shared" si="14"/>
        <v>0</v>
      </c>
      <c r="S76" s="380">
        <f t="shared" si="8"/>
        <v>0</v>
      </c>
      <c r="T76" s="13"/>
      <c r="U76" s="13"/>
    </row>
    <row r="77" spans="1:21" s="57" customFormat="1" ht="15" customHeight="1">
      <c r="A77" s="13"/>
      <c r="B77" s="58">
        <v>2088</v>
      </c>
      <c r="C77" s="159">
        <f t="shared" ref="C77:C123" si="16">(D78-D77)/D77</f>
        <v>1.1818202626097705E-2</v>
      </c>
      <c r="D77" s="160">
        <f t="shared" si="9"/>
        <v>131069</v>
      </c>
      <c r="E77" s="160">
        <f t="shared" si="4"/>
        <v>1549</v>
      </c>
      <c r="F77" s="160">
        <v>934</v>
      </c>
      <c r="G77" s="161">
        <v>19.03</v>
      </c>
      <c r="H77" s="161">
        <v>9.5500000000000007</v>
      </c>
      <c r="I77" s="161">
        <f t="shared" si="15"/>
        <v>1217.9199999999987</v>
      </c>
      <c r="J77" s="161">
        <f t="shared" si="15"/>
        <v>611.19999999999993</v>
      </c>
      <c r="K77" s="59">
        <f t="shared" si="2"/>
        <v>28.58</v>
      </c>
      <c r="L77" s="59">
        <f t="shared" si="6"/>
        <v>1800.5399999999986</v>
      </c>
      <c r="M77" s="203"/>
      <c r="N77" s="325">
        <f t="shared" si="10"/>
        <v>28.58</v>
      </c>
      <c r="O77" s="322">
        <f t="shared" si="11"/>
        <v>1790.4359999999986</v>
      </c>
      <c r="P77" s="203"/>
      <c r="Q77" s="172">
        <v>2088</v>
      </c>
      <c r="R77" s="242">
        <f t="shared" si="14"/>
        <v>0</v>
      </c>
      <c r="S77" s="380">
        <f t="shared" si="8"/>
        <v>0</v>
      </c>
      <c r="T77" s="13"/>
      <c r="U77" s="13"/>
    </row>
    <row r="78" spans="1:21" s="57" customFormat="1" ht="15" customHeight="1">
      <c r="A78" s="13"/>
      <c r="B78" s="58">
        <v>2089</v>
      </c>
      <c r="C78" s="159">
        <f t="shared" si="16"/>
        <v>1.168016408029076E-2</v>
      </c>
      <c r="D78" s="160">
        <f t="shared" ref="D78:D124" si="17">E78+D77</f>
        <v>132618</v>
      </c>
      <c r="E78" s="160">
        <f t="shared" si="4"/>
        <v>1549</v>
      </c>
      <c r="F78" s="160">
        <v>934</v>
      </c>
      <c r="G78" s="161">
        <v>19.03</v>
      </c>
      <c r="H78" s="161">
        <v>9.5500000000000007</v>
      </c>
      <c r="I78" s="161">
        <f t="shared" ref="I78:J93" si="18">+G78+I77</f>
        <v>1236.9499999999987</v>
      </c>
      <c r="J78" s="161">
        <f t="shared" si="18"/>
        <v>620.74999999999989</v>
      </c>
      <c r="K78" s="59">
        <f t="shared" ref="K78:K124" si="19">ROUND(G78+H78,2)</f>
        <v>28.58</v>
      </c>
      <c r="L78" s="59">
        <f t="shared" si="6"/>
        <v>1829.1199999999985</v>
      </c>
      <c r="M78" s="203"/>
      <c r="N78" s="325">
        <f t="shared" si="10"/>
        <v>28.58</v>
      </c>
      <c r="O78" s="322">
        <f t="shared" si="11"/>
        <v>1819.0159999999985</v>
      </c>
      <c r="P78" s="203"/>
      <c r="Q78" s="172">
        <v>2089</v>
      </c>
      <c r="R78" s="242">
        <f t="shared" si="14"/>
        <v>0</v>
      </c>
      <c r="S78" s="380">
        <f t="shared" si="8"/>
        <v>0</v>
      </c>
      <c r="T78" s="13"/>
      <c r="U78" s="13"/>
    </row>
    <row r="79" spans="1:21" s="57" customFormat="1" ht="15" customHeight="1">
      <c r="A79" s="13"/>
      <c r="B79" s="58">
        <v>2090</v>
      </c>
      <c r="C79" s="159">
        <f t="shared" si="16"/>
        <v>1.154531293089955E-2</v>
      </c>
      <c r="D79" s="160">
        <f t="shared" si="17"/>
        <v>134167</v>
      </c>
      <c r="E79" s="160">
        <f t="shared" ref="E79:E124" si="20">+E78</f>
        <v>1549</v>
      </c>
      <c r="F79" s="160">
        <v>934</v>
      </c>
      <c r="G79" s="161">
        <v>19.03</v>
      </c>
      <c r="H79" s="161">
        <v>9.5500000000000007</v>
      </c>
      <c r="I79" s="161">
        <f t="shared" si="18"/>
        <v>1255.9799999999987</v>
      </c>
      <c r="J79" s="161">
        <f t="shared" si="18"/>
        <v>630.29999999999984</v>
      </c>
      <c r="K79" s="59">
        <f t="shared" si="19"/>
        <v>28.58</v>
      </c>
      <c r="L79" s="59">
        <f t="shared" ref="L79:L124" si="21">+K79+L78</f>
        <v>1857.6999999999985</v>
      </c>
      <c r="M79" s="203"/>
      <c r="N79" s="325">
        <f t="shared" si="10"/>
        <v>28.58</v>
      </c>
      <c r="O79" s="322">
        <f t="shared" si="11"/>
        <v>1847.5959999999984</v>
      </c>
      <c r="P79" s="203"/>
      <c r="Q79" s="172">
        <v>2090</v>
      </c>
      <c r="R79" s="242">
        <f t="shared" si="14"/>
        <v>0</v>
      </c>
      <c r="S79" s="380">
        <f t="shared" si="8"/>
        <v>0</v>
      </c>
      <c r="T79" s="13"/>
      <c r="U79" s="13"/>
    </row>
    <row r="80" spans="1:21" s="57" customFormat="1" ht="15" customHeight="1">
      <c r="A80" s="13"/>
      <c r="B80" s="58">
        <v>2091</v>
      </c>
      <c r="C80" s="159">
        <f t="shared" si="16"/>
        <v>1.1413540039494238E-2</v>
      </c>
      <c r="D80" s="160">
        <f t="shared" si="17"/>
        <v>135716</v>
      </c>
      <c r="E80" s="160">
        <f t="shared" si="20"/>
        <v>1549</v>
      </c>
      <c r="F80" s="160">
        <v>934</v>
      </c>
      <c r="G80" s="161">
        <v>19.03</v>
      </c>
      <c r="H80" s="161">
        <v>9.5500000000000007</v>
      </c>
      <c r="I80" s="161">
        <f t="shared" si="18"/>
        <v>1275.0099999999986</v>
      </c>
      <c r="J80" s="161">
        <f t="shared" si="18"/>
        <v>639.8499999999998</v>
      </c>
      <c r="K80" s="59">
        <f t="shared" si="19"/>
        <v>28.58</v>
      </c>
      <c r="L80" s="59">
        <f t="shared" si="21"/>
        <v>1886.2799999999984</v>
      </c>
      <c r="M80" s="203"/>
      <c r="N80" s="325">
        <f t="shared" si="10"/>
        <v>28.58</v>
      </c>
      <c r="O80" s="322">
        <f t="shared" si="11"/>
        <v>1876.1759999999983</v>
      </c>
      <c r="P80" s="203"/>
      <c r="Q80" s="172">
        <v>2091</v>
      </c>
      <c r="R80" s="242">
        <f t="shared" si="14"/>
        <v>0</v>
      </c>
      <c r="S80" s="380">
        <f t="shared" ref="S80:S123" si="22">IF($S$14&gt;O80,N80,IF($S$14-O79&gt;0,$S$14-O79,0))</f>
        <v>0</v>
      </c>
      <c r="T80" s="13"/>
      <c r="U80" s="13"/>
    </row>
    <row r="81" spans="1:21" s="57" customFormat="1" ht="15" customHeight="1">
      <c r="A81" s="13"/>
      <c r="B81" s="58">
        <v>2092</v>
      </c>
      <c r="C81" s="159">
        <f t="shared" si="16"/>
        <v>1.1284741194040724E-2</v>
      </c>
      <c r="D81" s="160">
        <f t="shared" si="17"/>
        <v>137265</v>
      </c>
      <c r="E81" s="160">
        <f t="shared" si="20"/>
        <v>1549</v>
      </c>
      <c r="F81" s="160">
        <v>934</v>
      </c>
      <c r="G81" s="161">
        <v>19.03</v>
      </c>
      <c r="H81" s="161">
        <v>9.5500000000000007</v>
      </c>
      <c r="I81" s="161">
        <f t="shared" si="18"/>
        <v>1294.0399999999986</v>
      </c>
      <c r="J81" s="161">
        <f t="shared" si="18"/>
        <v>649.39999999999975</v>
      </c>
      <c r="K81" s="59">
        <f t="shared" si="19"/>
        <v>28.58</v>
      </c>
      <c r="L81" s="59">
        <f t="shared" si="21"/>
        <v>1914.8599999999983</v>
      </c>
      <c r="M81" s="203"/>
      <c r="N81" s="325">
        <f t="shared" ref="N81:N123" si="23">K81</f>
        <v>28.58</v>
      </c>
      <c r="O81" s="322">
        <f t="shared" ref="O81:O123" si="24">N81+O80</f>
        <v>1904.7559999999983</v>
      </c>
      <c r="P81" s="203"/>
      <c r="Q81" s="172">
        <v>2092</v>
      </c>
      <c r="R81" s="242">
        <f t="shared" si="14"/>
        <v>0</v>
      </c>
      <c r="S81" s="380">
        <f t="shared" si="22"/>
        <v>0</v>
      </c>
      <c r="T81" s="13"/>
      <c r="U81" s="13"/>
    </row>
    <row r="82" spans="1:21" s="57" customFormat="1" ht="15" customHeight="1">
      <c r="A82" s="13"/>
      <c r="B82" s="58">
        <v>2093</v>
      </c>
      <c r="C82" s="159">
        <f t="shared" si="16"/>
        <v>1.1158816834036913E-2</v>
      </c>
      <c r="D82" s="160">
        <f t="shared" si="17"/>
        <v>138814</v>
      </c>
      <c r="E82" s="160">
        <f t="shared" si="20"/>
        <v>1549</v>
      </c>
      <c r="F82" s="160">
        <v>934</v>
      </c>
      <c r="G82" s="161">
        <v>19.03</v>
      </c>
      <c r="H82" s="161">
        <v>9.5500000000000007</v>
      </c>
      <c r="I82" s="161">
        <f t="shared" si="18"/>
        <v>1313.0699999999986</v>
      </c>
      <c r="J82" s="161">
        <f t="shared" si="18"/>
        <v>658.9499999999997</v>
      </c>
      <c r="K82" s="59">
        <f t="shared" si="19"/>
        <v>28.58</v>
      </c>
      <c r="L82" s="59">
        <f t="shared" si="21"/>
        <v>1943.4399999999982</v>
      </c>
      <c r="M82" s="203"/>
      <c r="N82" s="325">
        <f t="shared" si="23"/>
        <v>28.58</v>
      </c>
      <c r="O82" s="322">
        <f t="shared" si="24"/>
        <v>1933.3359999999982</v>
      </c>
      <c r="P82" s="203"/>
      <c r="Q82" s="172">
        <v>2093</v>
      </c>
      <c r="R82" s="242">
        <f t="shared" si="14"/>
        <v>0</v>
      </c>
      <c r="S82" s="380">
        <f t="shared" si="22"/>
        <v>0</v>
      </c>
      <c r="T82" s="13"/>
      <c r="U82" s="13"/>
    </row>
    <row r="83" spans="1:21" s="57" customFormat="1" ht="15" customHeight="1">
      <c r="A83" s="13"/>
      <c r="B83" s="58">
        <v>2094</v>
      </c>
      <c r="C83" s="159">
        <f t="shared" si="16"/>
        <v>1.1035671793848807E-2</v>
      </c>
      <c r="D83" s="160">
        <f t="shared" si="17"/>
        <v>140363</v>
      </c>
      <c r="E83" s="160">
        <f t="shared" si="20"/>
        <v>1549</v>
      </c>
      <c r="F83" s="160">
        <v>934</v>
      </c>
      <c r="G83" s="161">
        <v>19.03</v>
      </c>
      <c r="H83" s="161">
        <v>9.5500000000000007</v>
      </c>
      <c r="I83" s="161">
        <f t="shared" si="18"/>
        <v>1332.0999999999985</v>
      </c>
      <c r="J83" s="161">
        <f t="shared" si="18"/>
        <v>668.49999999999966</v>
      </c>
      <c r="K83" s="59">
        <f t="shared" si="19"/>
        <v>28.58</v>
      </c>
      <c r="L83" s="59">
        <f t="shared" si="21"/>
        <v>1972.0199999999982</v>
      </c>
      <c r="M83" s="203"/>
      <c r="N83" s="325">
        <f t="shared" si="23"/>
        <v>28.58</v>
      </c>
      <c r="O83" s="322">
        <f t="shared" si="24"/>
        <v>1961.9159999999981</v>
      </c>
      <c r="P83" s="203"/>
      <c r="Q83" s="172">
        <v>2094</v>
      </c>
      <c r="R83" s="242">
        <f t="shared" si="14"/>
        <v>0</v>
      </c>
      <c r="S83" s="380">
        <f t="shared" si="22"/>
        <v>0</v>
      </c>
      <c r="T83" s="13"/>
      <c r="U83" s="13"/>
    </row>
    <row r="84" spans="1:21" s="57" customFormat="1" ht="15" customHeight="1">
      <c r="A84" s="13"/>
      <c r="B84" s="58">
        <v>2095</v>
      </c>
      <c r="C84" s="159">
        <f t="shared" si="16"/>
        <v>1.0915215062855855E-2</v>
      </c>
      <c r="D84" s="160">
        <f t="shared" si="17"/>
        <v>141912</v>
      </c>
      <c r="E84" s="160">
        <f t="shared" si="20"/>
        <v>1549</v>
      </c>
      <c r="F84" s="160">
        <v>934</v>
      </c>
      <c r="G84" s="161">
        <v>19.03</v>
      </c>
      <c r="H84" s="161">
        <v>9.5500000000000007</v>
      </c>
      <c r="I84" s="161">
        <f t="shared" si="18"/>
        <v>1351.1299999999985</v>
      </c>
      <c r="J84" s="161">
        <f t="shared" si="18"/>
        <v>678.04999999999961</v>
      </c>
      <c r="K84" s="59">
        <f t="shared" si="19"/>
        <v>28.58</v>
      </c>
      <c r="L84" s="59">
        <f t="shared" si="21"/>
        <v>2000.5999999999981</v>
      </c>
      <c r="M84" s="203"/>
      <c r="N84" s="325">
        <f t="shared" si="23"/>
        <v>28.58</v>
      </c>
      <c r="O84" s="322">
        <f t="shared" si="24"/>
        <v>1990.495999999998</v>
      </c>
      <c r="P84" s="203"/>
      <c r="Q84" s="172">
        <v>2095</v>
      </c>
      <c r="R84" s="242">
        <f t="shared" si="14"/>
        <v>0</v>
      </c>
      <c r="S84" s="380">
        <f t="shared" si="22"/>
        <v>0</v>
      </c>
      <c r="T84" s="13"/>
      <c r="U84" s="13"/>
    </row>
    <row r="85" spans="1:21" s="57" customFormat="1" ht="15" customHeight="1">
      <c r="A85" s="13"/>
      <c r="B85" s="58">
        <v>2096</v>
      </c>
      <c r="C85" s="159">
        <f t="shared" si="16"/>
        <v>1.0797359561135082E-2</v>
      </c>
      <c r="D85" s="160">
        <f t="shared" si="17"/>
        <v>143461</v>
      </c>
      <c r="E85" s="160">
        <f t="shared" si="20"/>
        <v>1549</v>
      </c>
      <c r="F85" s="160">
        <v>934</v>
      </c>
      <c r="G85" s="161">
        <v>19.03</v>
      </c>
      <c r="H85" s="161">
        <v>9.5500000000000007</v>
      </c>
      <c r="I85" s="161">
        <f t="shared" si="18"/>
        <v>1370.1599999999985</v>
      </c>
      <c r="J85" s="161">
        <f t="shared" si="18"/>
        <v>687.59999999999957</v>
      </c>
      <c r="K85" s="59">
        <f t="shared" si="19"/>
        <v>28.58</v>
      </c>
      <c r="L85" s="59">
        <f t="shared" si="21"/>
        <v>2029.179999999998</v>
      </c>
      <c r="M85" s="203"/>
      <c r="N85" s="325">
        <f t="shared" si="23"/>
        <v>28.58</v>
      </c>
      <c r="O85" s="322">
        <f t="shared" si="24"/>
        <v>2019.075999999998</v>
      </c>
      <c r="P85" s="203"/>
      <c r="Q85" s="172">
        <v>2096</v>
      </c>
      <c r="R85" s="242">
        <f t="shared" si="14"/>
        <v>0</v>
      </c>
      <c r="S85" s="380">
        <f t="shared" si="22"/>
        <v>0</v>
      </c>
      <c r="T85" s="13"/>
      <c r="U85" s="13"/>
    </row>
    <row r="86" spans="1:21" s="57" customFormat="1" ht="15" customHeight="1">
      <c r="A86" s="13"/>
      <c r="B86" s="58">
        <v>2097</v>
      </c>
      <c r="C86" s="159">
        <f t="shared" si="16"/>
        <v>1.0682021929522102E-2</v>
      </c>
      <c r="D86" s="160">
        <f t="shared" si="17"/>
        <v>145010</v>
      </c>
      <c r="E86" s="160">
        <f t="shared" si="20"/>
        <v>1549</v>
      </c>
      <c r="F86" s="160">
        <v>934</v>
      </c>
      <c r="G86" s="161">
        <v>19.03</v>
      </c>
      <c r="H86" s="161">
        <v>9.5500000000000007</v>
      </c>
      <c r="I86" s="161">
        <f t="shared" si="18"/>
        <v>1389.1899999999985</v>
      </c>
      <c r="J86" s="161">
        <f t="shared" si="18"/>
        <v>697.14999999999952</v>
      </c>
      <c r="K86" s="59">
        <f t="shared" si="19"/>
        <v>28.58</v>
      </c>
      <c r="L86" s="59">
        <f t="shared" si="21"/>
        <v>2057.7599999999979</v>
      </c>
      <c r="M86" s="203"/>
      <c r="N86" s="325">
        <f t="shared" si="23"/>
        <v>28.58</v>
      </c>
      <c r="O86" s="322">
        <f t="shared" si="24"/>
        <v>2047.6559999999979</v>
      </c>
      <c r="P86" s="203"/>
      <c r="Q86" s="172">
        <v>2097</v>
      </c>
      <c r="R86" s="242">
        <f t="shared" si="14"/>
        <v>0</v>
      </c>
      <c r="S86" s="380">
        <f t="shared" si="22"/>
        <v>0</v>
      </c>
      <c r="T86" s="13"/>
      <c r="U86" s="13"/>
    </row>
    <row r="87" spans="1:21" s="57" customFormat="1" ht="15" customHeight="1">
      <c r="A87" s="13"/>
      <c r="B87" s="58">
        <v>2098</v>
      </c>
      <c r="C87" s="159">
        <f t="shared" si="16"/>
        <v>1.0569122332985351E-2</v>
      </c>
      <c r="D87" s="160">
        <f t="shared" si="17"/>
        <v>146559</v>
      </c>
      <c r="E87" s="160">
        <f t="shared" si="20"/>
        <v>1549</v>
      </c>
      <c r="F87" s="160">
        <v>934</v>
      </c>
      <c r="G87" s="161">
        <v>19.03</v>
      </c>
      <c r="H87" s="161">
        <v>9.5500000000000007</v>
      </c>
      <c r="I87" s="161">
        <f t="shared" si="18"/>
        <v>1408.2199999999984</v>
      </c>
      <c r="J87" s="161">
        <f t="shared" si="18"/>
        <v>706.69999999999948</v>
      </c>
      <c r="K87" s="59">
        <f t="shared" si="19"/>
        <v>28.58</v>
      </c>
      <c r="L87" s="59">
        <f t="shared" si="21"/>
        <v>2086.3399999999979</v>
      </c>
      <c r="M87" s="203"/>
      <c r="N87" s="325">
        <f t="shared" si="23"/>
        <v>28.58</v>
      </c>
      <c r="O87" s="322">
        <f t="shared" si="24"/>
        <v>2076.2359999999981</v>
      </c>
      <c r="P87" s="203"/>
      <c r="Q87" s="172">
        <v>2098</v>
      </c>
      <c r="R87" s="242">
        <f t="shared" si="14"/>
        <v>0</v>
      </c>
      <c r="S87" s="380">
        <f t="shared" si="22"/>
        <v>0</v>
      </c>
      <c r="T87" s="13"/>
      <c r="U87" s="13"/>
    </row>
    <row r="88" spans="1:21" s="57" customFormat="1" ht="15" customHeight="1">
      <c r="A88" s="13"/>
      <c r="B88" s="58">
        <v>2099</v>
      </c>
      <c r="C88" s="159">
        <f t="shared" si="16"/>
        <v>1.0458584276338887E-2</v>
      </c>
      <c r="D88" s="160">
        <f t="shared" si="17"/>
        <v>148108</v>
      </c>
      <c r="E88" s="160">
        <f t="shared" si="20"/>
        <v>1549</v>
      </c>
      <c r="F88" s="160">
        <v>934</v>
      </c>
      <c r="G88" s="161">
        <v>19.03</v>
      </c>
      <c r="H88" s="161">
        <v>9.5500000000000007</v>
      </c>
      <c r="I88" s="161">
        <f t="shared" si="18"/>
        <v>1427.2499999999984</v>
      </c>
      <c r="J88" s="161">
        <f t="shared" si="18"/>
        <v>716.24999999999943</v>
      </c>
      <c r="K88" s="59">
        <f t="shared" si="19"/>
        <v>28.58</v>
      </c>
      <c r="L88" s="59">
        <f t="shared" si="21"/>
        <v>2114.9199999999978</v>
      </c>
      <c r="M88" s="203"/>
      <c r="N88" s="325">
        <f t="shared" si="23"/>
        <v>28.58</v>
      </c>
      <c r="O88" s="322">
        <f t="shared" si="24"/>
        <v>2104.815999999998</v>
      </c>
      <c r="P88" s="203"/>
      <c r="Q88" s="172">
        <v>2099</v>
      </c>
      <c r="R88" s="242">
        <f t="shared" si="14"/>
        <v>0</v>
      </c>
      <c r="S88" s="380">
        <f t="shared" si="22"/>
        <v>0</v>
      </c>
      <c r="T88" s="13"/>
      <c r="U88" s="13"/>
    </row>
    <row r="89" spans="1:21" s="57" customFormat="1" ht="15" customHeight="1">
      <c r="A89" s="13"/>
      <c r="B89" s="58">
        <v>2100</v>
      </c>
      <c r="C89" s="159">
        <f t="shared" si="16"/>
        <v>1.0350334431399801E-2</v>
      </c>
      <c r="D89" s="160">
        <f t="shared" si="17"/>
        <v>149657</v>
      </c>
      <c r="E89" s="160">
        <f t="shared" si="20"/>
        <v>1549</v>
      </c>
      <c r="F89" s="160">
        <v>934</v>
      </c>
      <c r="G89" s="161">
        <v>19.03</v>
      </c>
      <c r="H89" s="161">
        <v>9.5500000000000007</v>
      </c>
      <c r="I89" s="161">
        <f t="shared" si="18"/>
        <v>1446.2799999999984</v>
      </c>
      <c r="J89" s="161">
        <f t="shared" si="18"/>
        <v>725.79999999999939</v>
      </c>
      <c r="K89" s="59">
        <f t="shared" si="19"/>
        <v>28.58</v>
      </c>
      <c r="L89" s="59">
        <f t="shared" si="21"/>
        <v>2143.4999999999977</v>
      </c>
      <c r="M89" s="203"/>
      <c r="N89" s="325">
        <f t="shared" si="23"/>
        <v>28.58</v>
      </c>
      <c r="O89" s="322">
        <f t="shared" si="24"/>
        <v>2133.3959999999979</v>
      </c>
      <c r="P89" s="203"/>
      <c r="Q89" s="172">
        <v>2100</v>
      </c>
      <c r="R89" s="242">
        <f t="shared" si="14"/>
        <v>0</v>
      </c>
      <c r="S89" s="380">
        <f t="shared" si="22"/>
        <v>0</v>
      </c>
      <c r="T89" s="13"/>
      <c r="U89" s="13"/>
    </row>
    <row r="90" spans="1:21" s="57" customFormat="1" ht="15" customHeight="1">
      <c r="A90" s="13"/>
      <c r="B90" s="58">
        <v>2101</v>
      </c>
      <c r="C90" s="159">
        <f t="shared" si="16"/>
        <v>1.0244302474769519E-2</v>
      </c>
      <c r="D90" s="160">
        <f t="shared" si="17"/>
        <v>151206</v>
      </c>
      <c r="E90" s="160">
        <f t="shared" si="20"/>
        <v>1549</v>
      </c>
      <c r="F90" s="160">
        <v>934</v>
      </c>
      <c r="G90" s="161">
        <v>19.03</v>
      </c>
      <c r="H90" s="161">
        <v>9.5500000000000007</v>
      </c>
      <c r="I90" s="161">
        <f t="shared" si="18"/>
        <v>1465.3099999999984</v>
      </c>
      <c r="J90" s="161">
        <f t="shared" si="18"/>
        <v>735.34999999999934</v>
      </c>
      <c r="K90" s="59">
        <f t="shared" si="19"/>
        <v>28.58</v>
      </c>
      <c r="L90" s="59">
        <f t="shared" si="21"/>
        <v>2172.0799999999977</v>
      </c>
      <c r="M90" s="203"/>
      <c r="N90" s="325">
        <f t="shared" si="23"/>
        <v>28.58</v>
      </c>
      <c r="O90" s="322">
        <f t="shared" si="24"/>
        <v>2161.9759999999978</v>
      </c>
      <c r="P90" s="203"/>
      <c r="Q90" s="172">
        <v>2101</v>
      </c>
      <c r="R90" s="242">
        <f t="shared" si="14"/>
        <v>0</v>
      </c>
      <c r="S90" s="380">
        <f t="shared" si="22"/>
        <v>0</v>
      </c>
      <c r="T90" s="13"/>
      <c r="U90" s="13"/>
    </row>
    <row r="91" spans="1:21" s="57" customFormat="1" ht="15" customHeight="1">
      <c r="A91" s="13"/>
      <c r="B91" s="58">
        <v>2102</v>
      </c>
      <c r="C91" s="159">
        <f t="shared" si="16"/>
        <v>1.0140420935484926E-2</v>
      </c>
      <c r="D91" s="160">
        <f t="shared" si="17"/>
        <v>152755</v>
      </c>
      <c r="E91" s="160">
        <f t="shared" si="20"/>
        <v>1549</v>
      </c>
      <c r="F91" s="160">
        <v>934</v>
      </c>
      <c r="G91" s="161">
        <v>19.03</v>
      </c>
      <c r="H91" s="161">
        <v>9.5500000000000007</v>
      </c>
      <c r="I91" s="161">
        <f t="shared" si="18"/>
        <v>1484.3399999999983</v>
      </c>
      <c r="J91" s="161">
        <f t="shared" si="18"/>
        <v>744.8999999999993</v>
      </c>
      <c r="K91" s="59">
        <f t="shared" si="19"/>
        <v>28.58</v>
      </c>
      <c r="L91" s="59">
        <f t="shared" si="21"/>
        <v>2200.6599999999976</v>
      </c>
      <c r="M91" s="203"/>
      <c r="N91" s="325">
        <f t="shared" si="23"/>
        <v>28.58</v>
      </c>
      <c r="O91" s="322">
        <f t="shared" si="24"/>
        <v>2190.5559999999978</v>
      </c>
      <c r="P91" s="203"/>
      <c r="Q91" s="172">
        <v>2102</v>
      </c>
      <c r="R91" s="242">
        <f t="shared" si="14"/>
        <v>0</v>
      </c>
      <c r="S91" s="380">
        <f t="shared" si="22"/>
        <v>0</v>
      </c>
      <c r="T91" s="13"/>
      <c r="U91" s="13"/>
    </row>
    <row r="92" spans="1:21" s="57" customFormat="1" ht="15" customHeight="1">
      <c r="A92" s="13"/>
      <c r="B92" s="58">
        <v>2103</v>
      </c>
      <c r="C92" s="159">
        <f t="shared" si="16"/>
        <v>1.0038625051845707E-2</v>
      </c>
      <c r="D92" s="160">
        <f t="shared" si="17"/>
        <v>154304</v>
      </c>
      <c r="E92" s="160">
        <f t="shared" si="20"/>
        <v>1549</v>
      </c>
      <c r="F92" s="160">
        <v>934</v>
      </c>
      <c r="G92" s="161">
        <v>19.03</v>
      </c>
      <c r="H92" s="161">
        <v>9.5500000000000007</v>
      </c>
      <c r="I92" s="161">
        <f t="shared" si="18"/>
        <v>1503.3699999999983</v>
      </c>
      <c r="J92" s="161">
        <f t="shared" si="18"/>
        <v>754.44999999999925</v>
      </c>
      <c r="K92" s="59">
        <f t="shared" si="19"/>
        <v>28.58</v>
      </c>
      <c r="L92" s="59">
        <f t="shared" si="21"/>
        <v>2229.2399999999975</v>
      </c>
      <c r="M92" s="203"/>
      <c r="N92" s="325">
        <f t="shared" si="23"/>
        <v>28.58</v>
      </c>
      <c r="O92" s="322">
        <f t="shared" si="24"/>
        <v>2219.1359999999977</v>
      </c>
      <c r="P92" s="203"/>
      <c r="Q92" s="172">
        <v>2103</v>
      </c>
      <c r="R92" s="242">
        <f t="shared" si="14"/>
        <v>0</v>
      </c>
      <c r="S92" s="380">
        <f t="shared" si="22"/>
        <v>0</v>
      </c>
      <c r="T92" s="13"/>
      <c r="U92" s="13"/>
    </row>
    <row r="93" spans="1:21" s="57" customFormat="1" ht="15" customHeight="1">
      <c r="A93" s="13"/>
      <c r="B93" s="58">
        <v>2104</v>
      </c>
      <c r="C93" s="159">
        <f t="shared" si="16"/>
        <v>9.9388526367795299E-3</v>
      </c>
      <c r="D93" s="160">
        <f t="shared" si="17"/>
        <v>155853</v>
      </c>
      <c r="E93" s="160">
        <f t="shared" si="20"/>
        <v>1549</v>
      </c>
      <c r="F93" s="160">
        <v>934</v>
      </c>
      <c r="G93" s="161">
        <v>19.03</v>
      </c>
      <c r="H93" s="161">
        <v>9.5500000000000007</v>
      </c>
      <c r="I93" s="161">
        <f t="shared" si="18"/>
        <v>1522.3999999999983</v>
      </c>
      <c r="J93" s="161">
        <f t="shared" si="18"/>
        <v>763.9999999999992</v>
      </c>
      <c r="K93" s="59">
        <f t="shared" si="19"/>
        <v>28.58</v>
      </c>
      <c r="L93" s="59">
        <f t="shared" si="21"/>
        <v>2257.8199999999974</v>
      </c>
      <c r="M93" s="203"/>
      <c r="N93" s="325">
        <f t="shared" si="23"/>
        <v>28.58</v>
      </c>
      <c r="O93" s="322">
        <f t="shared" si="24"/>
        <v>2247.7159999999976</v>
      </c>
      <c r="P93" s="203"/>
      <c r="Q93" s="172">
        <v>2104</v>
      </c>
      <c r="R93" s="242">
        <f t="shared" si="14"/>
        <v>0</v>
      </c>
      <c r="S93" s="380">
        <f t="shared" si="22"/>
        <v>0</v>
      </c>
      <c r="T93" s="13"/>
      <c r="U93" s="13"/>
    </row>
    <row r="94" spans="1:21" s="57" customFormat="1" ht="15" customHeight="1">
      <c r="A94" s="13"/>
      <c r="B94" s="58">
        <v>2105</v>
      </c>
      <c r="C94" s="159">
        <f t="shared" si="16"/>
        <v>9.8410439511569109E-3</v>
      </c>
      <c r="D94" s="160">
        <f t="shared" si="17"/>
        <v>157402</v>
      </c>
      <c r="E94" s="160">
        <f t="shared" si="20"/>
        <v>1549</v>
      </c>
      <c r="F94" s="160">
        <v>934</v>
      </c>
      <c r="G94" s="161">
        <v>19.03</v>
      </c>
      <c r="H94" s="161">
        <v>9.5500000000000007</v>
      </c>
      <c r="I94" s="161">
        <f t="shared" ref="I94:J109" si="25">+G94+I93</f>
        <v>1541.4299999999982</v>
      </c>
      <c r="J94" s="161">
        <f t="shared" si="25"/>
        <v>773.54999999999916</v>
      </c>
      <c r="K94" s="59">
        <f t="shared" si="19"/>
        <v>28.58</v>
      </c>
      <c r="L94" s="59">
        <f t="shared" si="21"/>
        <v>2286.3999999999974</v>
      </c>
      <c r="M94" s="203"/>
      <c r="N94" s="325">
        <f t="shared" si="23"/>
        <v>28.58</v>
      </c>
      <c r="O94" s="322">
        <f t="shared" si="24"/>
        <v>2276.2959999999975</v>
      </c>
      <c r="P94" s="203"/>
      <c r="Q94" s="172">
        <v>2105</v>
      </c>
      <c r="R94" s="242">
        <f t="shared" si="14"/>
        <v>0</v>
      </c>
      <c r="S94" s="380">
        <f t="shared" si="22"/>
        <v>0</v>
      </c>
      <c r="T94" s="13"/>
      <c r="U94" s="13"/>
    </row>
    <row r="95" spans="1:21" s="57" customFormat="1" ht="15" customHeight="1">
      <c r="A95" s="13"/>
      <c r="B95" s="58">
        <v>2106</v>
      </c>
      <c r="C95" s="159">
        <f t="shared" si="16"/>
        <v>9.745141584513466E-3</v>
      </c>
      <c r="D95" s="160">
        <f t="shared" si="17"/>
        <v>158951</v>
      </c>
      <c r="E95" s="160">
        <f t="shared" si="20"/>
        <v>1549</v>
      </c>
      <c r="F95" s="160">
        <v>934</v>
      </c>
      <c r="G95" s="161">
        <v>19.03</v>
      </c>
      <c r="H95" s="161">
        <v>9.5500000000000007</v>
      </c>
      <c r="I95" s="161">
        <f t="shared" si="25"/>
        <v>1560.4599999999982</v>
      </c>
      <c r="J95" s="161">
        <f t="shared" si="25"/>
        <v>783.09999999999911</v>
      </c>
      <c r="K95" s="59">
        <f t="shared" si="19"/>
        <v>28.58</v>
      </c>
      <c r="L95" s="59">
        <f t="shared" si="21"/>
        <v>2314.9799999999973</v>
      </c>
      <c r="M95" s="203"/>
      <c r="N95" s="325">
        <f t="shared" si="23"/>
        <v>28.58</v>
      </c>
      <c r="O95" s="322">
        <f t="shared" si="24"/>
        <v>2304.8759999999975</v>
      </c>
      <c r="P95" s="203"/>
      <c r="Q95" s="172">
        <v>2106</v>
      </c>
      <c r="R95" s="242">
        <f t="shared" si="14"/>
        <v>0</v>
      </c>
      <c r="S95" s="380">
        <f t="shared" si="22"/>
        <v>0</v>
      </c>
      <c r="T95" s="13"/>
      <c r="U95" s="13"/>
    </row>
    <row r="96" spans="1:21" s="57" customFormat="1" ht="15" customHeight="1">
      <c r="A96" s="13"/>
      <c r="B96" s="58">
        <v>2107</v>
      </c>
      <c r="C96" s="159">
        <f t="shared" si="16"/>
        <v>9.6510903426791275E-3</v>
      </c>
      <c r="D96" s="160">
        <f t="shared" si="17"/>
        <v>160500</v>
      </c>
      <c r="E96" s="160">
        <f t="shared" si="20"/>
        <v>1549</v>
      </c>
      <c r="F96" s="160">
        <v>934</v>
      </c>
      <c r="G96" s="161">
        <v>19.03</v>
      </c>
      <c r="H96" s="161">
        <v>9.5500000000000007</v>
      </c>
      <c r="I96" s="161">
        <f t="shared" si="25"/>
        <v>1579.4899999999982</v>
      </c>
      <c r="J96" s="161">
        <f t="shared" si="25"/>
        <v>792.64999999999907</v>
      </c>
      <c r="K96" s="59">
        <f t="shared" si="19"/>
        <v>28.58</v>
      </c>
      <c r="L96" s="59">
        <f t="shared" si="21"/>
        <v>2343.5599999999972</v>
      </c>
      <c r="M96" s="203"/>
      <c r="N96" s="325">
        <f t="shared" si="23"/>
        <v>28.58</v>
      </c>
      <c r="O96" s="322">
        <f t="shared" si="24"/>
        <v>2333.4559999999974</v>
      </c>
      <c r="P96" s="203"/>
      <c r="Q96" s="172">
        <v>2107</v>
      </c>
      <c r="R96" s="242">
        <f t="shared" si="14"/>
        <v>0</v>
      </c>
      <c r="S96" s="380">
        <f t="shared" si="22"/>
        <v>0</v>
      </c>
      <c r="T96" s="13"/>
      <c r="U96" s="13"/>
    </row>
    <row r="97" spans="1:21" s="57" customFormat="1" ht="15" customHeight="1">
      <c r="A97" s="13"/>
      <c r="B97" s="58">
        <v>2108</v>
      </c>
      <c r="C97" s="159">
        <f t="shared" si="16"/>
        <v>9.5588371418521556E-3</v>
      </c>
      <c r="D97" s="160">
        <f t="shared" si="17"/>
        <v>162049</v>
      </c>
      <c r="E97" s="160">
        <f t="shared" si="20"/>
        <v>1549</v>
      </c>
      <c r="F97" s="160">
        <v>934</v>
      </c>
      <c r="G97" s="161">
        <v>19.03</v>
      </c>
      <c r="H97" s="161">
        <v>9.5500000000000007</v>
      </c>
      <c r="I97" s="161">
        <f t="shared" si="25"/>
        <v>1598.5199999999982</v>
      </c>
      <c r="J97" s="161">
        <f t="shared" si="25"/>
        <v>802.19999999999902</v>
      </c>
      <c r="K97" s="59">
        <f t="shared" si="19"/>
        <v>28.58</v>
      </c>
      <c r="L97" s="59">
        <f t="shared" si="21"/>
        <v>2372.1399999999971</v>
      </c>
      <c r="M97" s="203"/>
      <c r="N97" s="325">
        <f t="shared" si="23"/>
        <v>28.58</v>
      </c>
      <c r="O97" s="322">
        <f t="shared" si="24"/>
        <v>2362.0359999999973</v>
      </c>
      <c r="P97" s="203"/>
      <c r="Q97" s="172">
        <v>2108</v>
      </c>
      <c r="R97" s="242">
        <f t="shared" si="14"/>
        <v>0</v>
      </c>
      <c r="S97" s="380">
        <f t="shared" si="22"/>
        <v>0</v>
      </c>
      <c r="T97" s="13"/>
      <c r="U97" s="13"/>
    </row>
    <row r="98" spans="1:21" s="57" customFormat="1" ht="15" customHeight="1">
      <c r="A98" s="13"/>
      <c r="B98" s="58">
        <v>2109</v>
      </c>
      <c r="C98" s="159">
        <f t="shared" si="16"/>
        <v>9.4683309086908158E-3</v>
      </c>
      <c r="D98" s="160">
        <f t="shared" si="17"/>
        <v>163598</v>
      </c>
      <c r="E98" s="160">
        <f t="shared" si="20"/>
        <v>1549</v>
      </c>
      <c r="F98" s="160">
        <v>934</v>
      </c>
      <c r="G98" s="161">
        <v>19.03</v>
      </c>
      <c r="H98" s="161">
        <v>9.5500000000000007</v>
      </c>
      <c r="I98" s="161">
        <f t="shared" si="25"/>
        <v>1617.5499999999981</v>
      </c>
      <c r="J98" s="161">
        <f t="shared" si="25"/>
        <v>811.74999999999898</v>
      </c>
      <c r="K98" s="59">
        <f t="shared" si="19"/>
        <v>28.58</v>
      </c>
      <c r="L98" s="59">
        <f t="shared" si="21"/>
        <v>2400.7199999999971</v>
      </c>
      <c r="M98" s="203"/>
      <c r="N98" s="325">
        <f t="shared" si="23"/>
        <v>28.58</v>
      </c>
      <c r="O98" s="322">
        <f t="shared" si="24"/>
        <v>2390.6159999999973</v>
      </c>
      <c r="P98" s="203"/>
      <c r="Q98" s="172">
        <v>2109</v>
      </c>
      <c r="R98" s="242">
        <f t="shared" si="14"/>
        <v>0</v>
      </c>
      <c r="S98" s="380">
        <f t="shared" si="22"/>
        <v>0</v>
      </c>
      <c r="T98" s="13"/>
      <c r="U98" s="13"/>
    </row>
    <row r="99" spans="1:21" s="57" customFormat="1" ht="15" customHeight="1">
      <c r="A99" s="13"/>
      <c r="B99" s="58">
        <v>2110</v>
      </c>
      <c r="C99" s="159">
        <f t="shared" si="16"/>
        <v>9.3795224860275996E-3</v>
      </c>
      <c r="D99" s="160">
        <f t="shared" si="17"/>
        <v>165147</v>
      </c>
      <c r="E99" s="160">
        <f t="shared" si="20"/>
        <v>1549</v>
      </c>
      <c r="F99" s="160">
        <v>934</v>
      </c>
      <c r="G99" s="161">
        <v>19.03</v>
      </c>
      <c r="H99" s="161">
        <v>9.5500000000000007</v>
      </c>
      <c r="I99" s="161">
        <f t="shared" si="25"/>
        <v>1636.5799999999981</v>
      </c>
      <c r="J99" s="161">
        <f t="shared" si="25"/>
        <v>821.29999999999893</v>
      </c>
      <c r="K99" s="59">
        <f t="shared" si="19"/>
        <v>28.58</v>
      </c>
      <c r="L99" s="59">
        <f t="shared" si="21"/>
        <v>2429.299999999997</v>
      </c>
      <c r="M99" s="203"/>
      <c r="N99" s="325">
        <f t="shared" si="23"/>
        <v>28.58</v>
      </c>
      <c r="O99" s="322">
        <f t="shared" si="24"/>
        <v>2419.1959999999972</v>
      </c>
      <c r="P99" s="203"/>
      <c r="Q99" s="172">
        <v>2110</v>
      </c>
      <c r="R99" s="242">
        <f t="shared" si="14"/>
        <v>0</v>
      </c>
      <c r="S99" s="380">
        <f t="shared" si="22"/>
        <v>0</v>
      </c>
      <c r="T99" s="13"/>
      <c r="U99" s="13"/>
    </row>
    <row r="100" spans="1:21" s="57" customFormat="1" ht="15" customHeight="1">
      <c r="A100" s="13"/>
      <c r="B100" s="58">
        <v>2111</v>
      </c>
      <c r="C100" s="159">
        <f t="shared" si="16"/>
        <v>9.2923645438402844E-3</v>
      </c>
      <c r="D100" s="160">
        <f t="shared" si="17"/>
        <v>166696</v>
      </c>
      <c r="E100" s="160">
        <f t="shared" si="20"/>
        <v>1549</v>
      </c>
      <c r="F100" s="160">
        <v>934</v>
      </c>
      <c r="G100" s="161">
        <v>19.03</v>
      </c>
      <c r="H100" s="161">
        <v>9.5500000000000007</v>
      </c>
      <c r="I100" s="161">
        <f t="shared" si="25"/>
        <v>1655.6099999999981</v>
      </c>
      <c r="J100" s="161">
        <f t="shared" si="25"/>
        <v>830.84999999999889</v>
      </c>
      <c r="K100" s="59">
        <f t="shared" si="19"/>
        <v>28.58</v>
      </c>
      <c r="L100" s="59">
        <f t="shared" si="21"/>
        <v>2457.8799999999969</v>
      </c>
      <c r="M100" s="203"/>
      <c r="N100" s="325">
        <f t="shared" si="23"/>
        <v>28.58</v>
      </c>
      <c r="O100" s="322">
        <f t="shared" si="24"/>
        <v>2447.7759999999971</v>
      </c>
      <c r="P100" s="203"/>
      <c r="Q100" s="172">
        <v>2111</v>
      </c>
      <c r="R100" s="242">
        <f t="shared" si="14"/>
        <v>0</v>
      </c>
      <c r="S100" s="380">
        <f t="shared" si="22"/>
        <v>0</v>
      </c>
      <c r="T100" s="13"/>
      <c r="U100" s="13"/>
    </row>
    <row r="101" spans="1:21" s="57" customFormat="1" ht="15" customHeight="1">
      <c r="A101" s="13"/>
      <c r="B101" s="58">
        <v>2112</v>
      </c>
      <c r="C101" s="159">
        <f t="shared" si="16"/>
        <v>9.2068114951410138E-3</v>
      </c>
      <c r="D101" s="160">
        <f t="shared" si="17"/>
        <v>168245</v>
      </c>
      <c r="E101" s="160">
        <f t="shared" si="20"/>
        <v>1549</v>
      </c>
      <c r="F101" s="160">
        <v>934</v>
      </c>
      <c r="G101" s="161">
        <v>19.03</v>
      </c>
      <c r="H101" s="161">
        <v>9.5500000000000007</v>
      </c>
      <c r="I101" s="161">
        <f t="shared" si="25"/>
        <v>1674.6399999999981</v>
      </c>
      <c r="J101" s="161">
        <f t="shared" si="25"/>
        <v>840.39999999999884</v>
      </c>
      <c r="K101" s="59">
        <f t="shared" si="19"/>
        <v>28.58</v>
      </c>
      <c r="L101" s="59">
        <f t="shared" si="21"/>
        <v>2486.4599999999969</v>
      </c>
      <c r="M101" s="203"/>
      <c r="N101" s="325">
        <f t="shared" si="23"/>
        <v>28.58</v>
      </c>
      <c r="O101" s="322">
        <f t="shared" si="24"/>
        <v>2476.355999999997</v>
      </c>
      <c r="P101" s="203"/>
      <c r="Q101" s="172">
        <v>2112</v>
      </c>
      <c r="R101" s="242">
        <f t="shared" si="14"/>
        <v>0</v>
      </c>
      <c r="S101" s="380">
        <f t="shared" si="22"/>
        <v>0</v>
      </c>
      <c r="T101" s="13"/>
      <c r="U101" s="13"/>
    </row>
    <row r="102" spans="1:21" s="57" customFormat="1" ht="15" customHeight="1">
      <c r="A102" s="13"/>
      <c r="B102" s="58">
        <v>2113</v>
      </c>
      <c r="C102" s="159">
        <f t="shared" si="16"/>
        <v>9.1228194164693684E-3</v>
      </c>
      <c r="D102" s="160">
        <f t="shared" si="17"/>
        <v>169794</v>
      </c>
      <c r="E102" s="160">
        <f t="shared" si="20"/>
        <v>1549</v>
      </c>
      <c r="F102" s="160">
        <v>934</v>
      </c>
      <c r="G102" s="161">
        <v>19.03</v>
      </c>
      <c r="H102" s="161">
        <v>9.5500000000000007</v>
      </c>
      <c r="I102" s="161">
        <f t="shared" si="25"/>
        <v>1693.669999999998</v>
      </c>
      <c r="J102" s="161">
        <f t="shared" si="25"/>
        <v>849.94999999999879</v>
      </c>
      <c r="K102" s="59">
        <f t="shared" si="19"/>
        <v>28.58</v>
      </c>
      <c r="L102" s="59">
        <f t="shared" si="21"/>
        <v>2515.0399999999968</v>
      </c>
      <c r="M102" s="203"/>
      <c r="N102" s="325">
        <f t="shared" si="23"/>
        <v>28.58</v>
      </c>
      <c r="O102" s="322">
        <f t="shared" si="24"/>
        <v>2504.935999999997</v>
      </c>
      <c r="P102" s="203"/>
      <c r="Q102" s="172">
        <v>2113</v>
      </c>
      <c r="R102" s="242">
        <f t="shared" si="14"/>
        <v>0</v>
      </c>
      <c r="S102" s="380">
        <f t="shared" si="22"/>
        <v>0</v>
      </c>
      <c r="T102" s="13"/>
      <c r="U102" s="13"/>
    </row>
    <row r="103" spans="1:21" s="57" customFormat="1" ht="15" customHeight="1">
      <c r="A103" s="13"/>
      <c r="B103" s="58">
        <v>2114</v>
      </c>
      <c r="C103" s="159">
        <f t="shared" si="16"/>
        <v>9.0403459726980384E-3</v>
      </c>
      <c r="D103" s="160">
        <f t="shared" si="17"/>
        <v>171343</v>
      </c>
      <c r="E103" s="160">
        <f t="shared" si="20"/>
        <v>1549</v>
      </c>
      <c r="F103" s="160">
        <v>934</v>
      </c>
      <c r="G103" s="161">
        <v>19.03</v>
      </c>
      <c r="H103" s="161">
        <v>9.5500000000000007</v>
      </c>
      <c r="I103" s="161">
        <f t="shared" si="25"/>
        <v>1712.699999999998</v>
      </c>
      <c r="J103" s="161">
        <f t="shared" si="25"/>
        <v>859.49999999999875</v>
      </c>
      <c r="K103" s="59">
        <f t="shared" si="19"/>
        <v>28.58</v>
      </c>
      <c r="L103" s="59">
        <f t="shared" si="21"/>
        <v>2543.6199999999967</v>
      </c>
      <c r="M103" s="203"/>
      <c r="N103" s="325">
        <f t="shared" si="23"/>
        <v>28.58</v>
      </c>
      <c r="O103" s="322">
        <f t="shared" si="24"/>
        <v>2533.5159999999969</v>
      </c>
      <c r="P103" s="203"/>
      <c r="Q103" s="172">
        <v>2114</v>
      </c>
      <c r="R103" s="242">
        <f t="shared" si="14"/>
        <v>0</v>
      </c>
      <c r="S103" s="380">
        <f t="shared" si="22"/>
        <v>0</v>
      </c>
      <c r="T103" s="13"/>
      <c r="U103" s="13"/>
    </row>
    <row r="104" spans="1:21" s="57" customFormat="1" ht="15" customHeight="1">
      <c r="A104" s="13"/>
      <c r="B104" s="58">
        <v>2115</v>
      </c>
      <c r="C104" s="159">
        <f t="shared" si="16"/>
        <v>8.9593503458806657E-3</v>
      </c>
      <c r="D104" s="160">
        <f t="shared" si="17"/>
        <v>172892</v>
      </c>
      <c r="E104" s="160">
        <f t="shared" si="20"/>
        <v>1549</v>
      </c>
      <c r="F104" s="160">
        <v>934</v>
      </c>
      <c r="G104" s="161">
        <v>19.03</v>
      </c>
      <c r="H104" s="161">
        <v>9.5500000000000007</v>
      </c>
      <c r="I104" s="161">
        <f t="shared" si="25"/>
        <v>1731.729999999998</v>
      </c>
      <c r="J104" s="161">
        <f t="shared" si="25"/>
        <v>869.0499999999987</v>
      </c>
      <c r="K104" s="59">
        <f t="shared" si="19"/>
        <v>28.58</v>
      </c>
      <c r="L104" s="59">
        <f t="shared" si="21"/>
        <v>2572.1999999999966</v>
      </c>
      <c r="M104" s="203"/>
      <c r="N104" s="325">
        <f t="shared" si="23"/>
        <v>28.58</v>
      </c>
      <c r="O104" s="322">
        <f t="shared" si="24"/>
        <v>2562.0959999999968</v>
      </c>
      <c r="P104" s="203"/>
      <c r="Q104" s="172">
        <v>2115</v>
      </c>
      <c r="R104" s="242">
        <f t="shared" si="14"/>
        <v>0</v>
      </c>
      <c r="S104" s="380">
        <f t="shared" si="22"/>
        <v>0</v>
      </c>
      <c r="T104" s="13"/>
      <c r="U104" s="13"/>
    </row>
    <row r="105" spans="1:21" s="57" customFormat="1" ht="15" customHeight="1">
      <c r="A105" s="13"/>
      <c r="B105" s="58">
        <v>2116</v>
      </c>
      <c r="C105" s="159">
        <f t="shared" si="16"/>
        <v>8.8797931678905768E-3</v>
      </c>
      <c r="D105" s="160">
        <f t="shared" si="17"/>
        <v>174441</v>
      </c>
      <c r="E105" s="160">
        <f t="shared" si="20"/>
        <v>1549</v>
      </c>
      <c r="F105" s="160">
        <v>934</v>
      </c>
      <c r="G105" s="161">
        <v>19.03</v>
      </c>
      <c r="H105" s="161">
        <v>9.5500000000000007</v>
      </c>
      <c r="I105" s="161">
        <f t="shared" si="25"/>
        <v>1750.7599999999979</v>
      </c>
      <c r="J105" s="161">
        <f t="shared" si="25"/>
        <v>878.59999999999866</v>
      </c>
      <c r="K105" s="59">
        <f t="shared" si="19"/>
        <v>28.58</v>
      </c>
      <c r="L105" s="59">
        <f t="shared" si="21"/>
        <v>2600.7799999999966</v>
      </c>
      <c r="M105" s="203"/>
      <c r="N105" s="325">
        <f t="shared" si="23"/>
        <v>28.58</v>
      </c>
      <c r="O105" s="322">
        <f t="shared" si="24"/>
        <v>2590.6759999999967</v>
      </c>
      <c r="P105" s="203"/>
      <c r="Q105" s="172">
        <v>2116</v>
      </c>
      <c r="R105" s="242">
        <f t="shared" ref="R105:R124" si="26">IF($R$14&gt;L105,K105,IF($R$14-L104&gt;0,$R$14-L104,0))</f>
        <v>0</v>
      </c>
      <c r="S105" s="380">
        <f t="shared" si="22"/>
        <v>0</v>
      </c>
      <c r="T105" s="13"/>
      <c r="U105" s="13"/>
    </row>
    <row r="106" spans="1:21" s="57" customFormat="1" ht="15" customHeight="1">
      <c r="A106" s="13"/>
      <c r="B106" s="58">
        <v>2117</v>
      </c>
      <c r="C106" s="159">
        <f t="shared" si="16"/>
        <v>8.8016364566168535E-3</v>
      </c>
      <c r="D106" s="160">
        <f t="shared" si="17"/>
        <v>175990</v>
      </c>
      <c r="E106" s="160">
        <f t="shared" si="20"/>
        <v>1549</v>
      </c>
      <c r="F106" s="160">
        <v>934</v>
      </c>
      <c r="G106" s="161">
        <v>19.03</v>
      </c>
      <c r="H106" s="161">
        <v>9.5500000000000007</v>
      </c>
      <c r="I106" s="161">
        <f t="shared" si="25"/>
        <v>1769.7899999999979</v>
      </c>
      <c r="J106" s="161">
        <f t="shared" si="25"/>
        <v>888.14999999999861</v>
      </c>
      <c r="K106" s="59">
        <f t="shared" si="19"/>
        <v>28.58</v>
      </c>
      <c r="L106" s="59">
        <f t="shared" si="21"/>
        <v>2629.3599999999965</v>
      </c>
      <c r="M106" s="203"/>
      <c r="N106" s="325">
        <f t="shared" si="23"/>
        <v>28.58</v>
      </c>
      <c r="O106" s="322">
        <f t="shared" si="24"/>
        <v>2619.2559999999967</v>
      </c>
      <c r="P106" s="203"/>
      <c r="Q106" s="172">
        <v>2117</v>
      </c>
      <c r="R106" s="242">
        <f t="shared" si="26"/>
        <v>0</v>
      </c>
      <c r="S106" s="380">
        <f t="shared" si="22"/>
        <v>0</v>
      </c>
      <c r="T106" s="13"/>
      <c r="U106" s="13"/>
    </row>
    <row r="107" spans="1:21" s="57" customFormat="1" ht="15" customHeight="1">
      <c r="A107" s="13"/>
      <c r="B107" s="58">
        <v>2118</v>
      </c>
      <c r="C107" s="159">
        <f t="shared" si="16"/>
        <v>8.7248435555004819E-3</v>
      </c>
      <c r="D107" s="160">
        <f t="shared" si="17"/>
        <v>177539</v>
      </c>
      <c r="E107" s="160">
        <f t="shared" si="20"/>
        <v>1549</v>
      </c>
      <c r="F107" s="160">
        <v>934</v>
      </c>
      <c r="G107" s="161">
        <v>19.03</v>
      </c>
      <c r="H107" s="161">
        <v>9.5500000000000007</v>
      </c>
      <c r="I107" s="161">
        <f t="shared" si="25"/>
        <v>1788.8199999999979</v>
      </c>
      <c r="J107" s="161">
        <f t="shared" si="25"/>
        <v>897.69999999999857</v>
      </c>
      <c r="K107" s="59">
        <f t="shared" si="19"/>
        <v>28.58</v>
      </c>
      <c r="L107" s="59">
        <f t="shared" si="21"/>
        <v>2657.9399999999964</v>
      </c>
      <c r="M107" s="203"/>
      <c r="N107" s="325">
        <f t="shared" si="23"/>
        <v>28.58</v>
      </c>
      <c r="O107" s="322">
        <f t="shared" si="24"/>
        <v>2647.8359999999966</v>
      </c>
      <c r="P107" s="203"/>
      <c r="Q107" s="172">
        <v>2118</v>
      </c>
      <c r="R107" s="242">
        <f t="shared" si="26"/>
        <v>0</v>
      </c>
      <c r="S107" s="380">
        <f t="shared" si="22"/>
        <v>0</v>
      </c>
      <c r="T107" s="13"/>
      <c r="U107" s="13"/>
    </row>
    <row r="108" spans="1:21" s="57" customFormat="1" ht="15" customHeight="1">
      <c r="A108" s="13"/>
      <c r="B108" s="58">
        <v>2119</v>
      </c>
      <c r="C108" s="159">
        <f t="shared" si="16"/>
        <v>8.6493790762083439E-3</v>
      </c>
      <c r="D108" s="160">
        <f t="shared" si="17"/>
        <v>179088</v>
      </c>
      <c r="E108" s="160">
        <f t="shared" si="20"/>
        <v>1549</v>
      </c>
      <c r="F108" s="160">
        <v>934</v>
      </c>
      <c r="G108" s="161">
        <v>19.03</v>
      </c>
      <c r="H108" s="161">
        <v>9.5500000000000007</v>
      </c>
      <c r="I108" s="161">
        <f t="shared" si="25"/>
        <v>1807.8499999999979</v>
      </c>
      <c r="J108" s="161">
        <f t="shared" si="25"/>
        <v>907.24999999999852</v>
      </c>
      <c r="K108" s="59">
        <f t="shared" si="19"/>
        <v>28.58</v>
      </c>
      <c r="L108" s="59">
        <f t="shared" si="21"/>
        <v>2686.5199999999963</v>
      </c>
      <c r="M108" s="203"/>
      <c r="N108" s="325">
        <f t="shared" si="23"/>
        <v>28.58</v>
      </c>
      <c r="O108" s="322">
        <f t="shared" si="24"/>
        <v>2676.4159999999965</v>
      </c>
      <c r="P108" s="203"/>
      <c r="Q108" s="172">
        <v>2119</v>
      </c>
      <c r="R108" s="242">
        <f t="shared" si="26"/>
        <v>0</v>
      </c>
      <c r="S108" s="380">
        <f t="shared" si="22"/>
        <v>0</v>
      </c>
      <c r="T108" s="13"/>
      <c r="U108" s="13"/>
    </row>
    <row r="109" spans="1:21" s="57" customFormat="1" ht="15" customHeight="1">
      <c r="A109" s="13"/>
      <c r="B109" s="58">
        <v>2120</v>
      </c>
      <c r="C109" s="159">
        <f t="shared" si="16"/>
        <v>8.575208844256714E-3</v>
      </c>
      <c r="D109" s="160">
        <f t="shared" si="17"/>
        <v>180637</v>
      </c>
      <c r="E109" s="160">
        <f t="shared" si="20"/>
        <v>1549</v>
      </c>
      <c r="F109" s="160">
        <v>934</v>
      </c>
      <c r="G109" s="161">
        <v>19.03</v>
      </c>
      <c r="H109" s="161">
        <v>9.5500000000000007</v>
      </c>
      <c r="I109" s="161">
        <f t="shared" si="25"/>
        <v>1826.8799999999978</v>
      </c>
      <c r="J109" s="161">
        <f t="shared" si="25"/>
        <v>916.79999999999848</v>
      </c>
      <c r="K109" s="59">
        <f t="shared" si="19"/>
        <v>28.58</v>
      </c>
      <c r="L109" s="59">
        <f t="shared" si="21"/>
        <v>2715.0999999999963</v>
      </c>
      <c r="M109" s="203"/>
      <c r="N109" s="325">
        <f t="shared" si="23"/>
        <v>28.58</v>
      </c>
      <c r="O109" s="322">
        <f t="shared" si="24"/>
        <v>2704.9959999999965</v>
      </c>
      <c r="P109" s="203"/>
      <c r="Q109" s="172">
        <v>2120</v>
      </c>
      <c r="R109" s="242">
        <f t="shared" si="26"/>
        <v>0</v>
      </c>
      <c r="S109" s="380">
        <f t="shared" si="22"/>
        <v>0</v>
      </c>
      <c r="T109" s="13"/>
      <c r="U109" s="13"/>
    </row>
    <row r="110" spans="1:21" s="57" customFormat="1" ht="15" customHeight="1">
      <c r="A110" s="13"/>
      <c r="B110" s="58">
        <v>2121</v>
      </c>
      <c r="C110" s="159">
        <f t="shared" si="16"/>
        <v>8.5022998474086914E-3</v>
      </c>
      <c r="D110" s="160">
        <f t="shared" si="17"/>
        <v>182186</v>
      </c>
      <c r="E110" s="160">
        <f t="shared" si="20"/>
        <v>1549</v>
      </c>
      <c r="F110" s="160">
        <v>934</v>
      </c>
      <c r="G110" s="161">
        <v>19.03</v>
      </c>
      <c r="H110" s="161">
        <v>9.5500000000000007</v>
      </c>
      <c r="I110" s="161">
        <f t="shared" ref="I110:J124" si="27">+G110+I109</f>
        <v>1845.9099999999978</v>
      </c>
      <c r="J110" s="161">
        <f t="shared" si="27"/>
        <v>926.34999999999843</v>
      </c>
      <c r="K110" s="59">
        <f t="shared" si="19"/>
        <v>28.58</v>
      </c>
      <c r="L110" s="59">
        <f t="shared" si="21"/>
        <v>2743.6799999999962</v>
      </c>
      <c r="M110" s="203"/>
      <c r="N110" s="325">
        <f t="shared" si="23"/>
        <v>28.58</v>
      </c>
      <c r="O110" s="322">
        <f t="shared" si="24"/>
        <v>2733.5759999999964</v>
      </c>
      <c r="P110" s="203"/>
      <c r="Q110" s="172">
        <v>2121</v>
      </c>
      <c r="R110" s="242">
        <f t="shared" si="26"/>
        <v>0</v>
      </c>
      <c r="S110" s="380">
        <f t="shared" si="22"/>
        <v>0</v>
      </c>
      <c r="T110" s="13"/>
      <c r="U110" s="13"/>
    </row>
    <row r="111" spans="1:21" s="57" customFormat="1" ht="15" customHeight="1">
      <c r="A111" s="13"/>
      <c r="B111" s="58">
        <v>2122</v>
      </c>
      <c r="C111" s="159">
        <f t="shared" si="16"/>
        <v>8.4306201866819058E-3</v>
      </c>
      <c r="D111" s="160">
        <f t="shared" si="17"/>
        <v>183735</v>
      </c>
      <c r="E111" s="160">
        <f t="shared" si="20"/>
        <v>1549</v>
      </c>
      <c r="F111" s="160">
        <v>934</v>
      </c>
      <c r="G111" s="161">
        <v>19.03</v>
      </c>
      <c r="H111" s="161">
        <v>9.5500000000000007</v>
      </c>
      <c r="I111" s="161">
        <f t="shared" si="27"/>
        <v>1864.9399999999978</v>
      </c>
      <c r="J111" s="161">
        <f t="shared" si="27"/>
        <v>935.89999999999839</v>
      </c>
      <c r="K111" s="59">
        <f t="shared" si="19"/>
        <v>28.58</v>
      </c>
      <c r="L111" s="59">
        <f t="shared" si="21"/>
        <v>2772.2599999999961</v>
      </c>
      <c r="M111" s="203"/>
      <c r="N111" s="325">
        <f t="shared" si="23"/>
        <v>28.58</v>
      </c>
      <c r="O111" s="322">
        <f t="shared" si="24"/>
        <v>2762.1559999999963</v>
      </c>
      <c r="P111" s="203"/>
      <c r="Q111" s="172">
        <v>2122</v>
      </c>
      <c r="R111" s="242">
        <f t="shared" si="26"/>
        <v>0</v>
      </c>
      <c r="S111" s="380">
        <f t="shared" si="22"/>
        <v>0</v>
      </c>
      <c r="T111" s="13"/>
      <c r="U111" s="13"/>
    </row>
    <row r="112" spans="1:21" s="57" customFormat="1" ht="15" customHeight="1">
      <c r="A112" s="13"/>
      <c r="B112" s="58">
        <v>2123</v>
      </c>
      <c r="C112" s="159">
        <f t="shared" si="16"/>
        <v>8.3601390298136923E-3</v>
      </c>
      <c r="D112" s="160">
        <f t="shared" si="17"/>
        <v>185284</v>
      </c>
      <c r="E112" s="160">
        <f t="shared" si="20"/>
        <v>1549</v>
      </c>
      <c r="F112" s="160">
        <v>934</v>
      </c>
      <c r="G112" s="161">
        <v>19.03</v>
      </c>
      <c r="H112" s="161">
        <v>9.5500000000000007</v>
      </c>
      <c r="I112" s="161">
        <f t="shared" si="27"/>
        <v>1883.9699999999978</v>
      </c>
      <c r="J112" s="161">
        <f t="shared" si="27"/>
        <v>945.44999999999834</v>
      </c>
      <c r="K112" s="59">
        <f t="shared" si="19"/>
        <v>28.58</v>
      </c>
      <c r="L112" s="59">
        <f t="shared" si="21"/>
        <v>2800.8399999999961</v>
      </c>
      <c r="M112" s="203"/>
      <c r="N112" s="325">
        <f t="shared" si="23"/>
        <v>28.58</v>
      </c>
      <c r="O112" s="322">
        <f t="shared" si="24"/>
        <v>2790.7359999999962</v>
      </c>
      <c r="P112" s="203"/>
      <c r="Q112" s="172">
        <v>2123</v>
      </c>
      <c r="R112" s="242">
        <f t="shared" si="26"/>
        <v>0</v>
      </c>
      <c r="S112" s="380">
        <f t="shared" si="22"/>
        <v>0</v>
      </c>
      <c r="T112" s="13"/>
      <c r="U112" s="13"/>
    </row>
    <row r="113" spans="1:21" s="57" customFormat="1" ht="15" customHeight="1">
      <c r="A113" s="13"/>
      <c r="B113" s="58">
        <v>2124</v>
      </c>
      <c r="C113" s="159">
        <f t="shared" si="16"/>
        <v>8.2908265670411548E-3</v>
      </c>
      <c r="D113" s="160">
        <f t="shared" si="17"/>
        <v>186833</v>
      </c>
      <c r="E113" s="160">
        <f t="shared" si="20"/>
        <v>1549</v>
      </c>
      <c r="F113" s="160">
        <v>934</v>
      </c>
      <c r="G113" s="161">
        <v>19.03</v>
      </c>
      <c r="H113" s="161">
        <v>9.5500000000000007</v>
      </c>
      <c r="I113" s="161">
        <f t="shared" si="27"/>
        <v>1902.9999999999977</v>
      </c>
      <c r="J113" s="161">
        <f t="shared" si="27"/>
        <v>954.99999999999829</v>
      </c>
      <c r="K113" s="59">
        <f t="shared" si="19"/>
        <v>28.58</v>
      </c>
      <c r="L113" s="59">
        <f t="shared" si="21"/>
        <v>2829.419999999996</v>
      </c>
      <c r="M113" s="203"/>
      <c r="N113" s="325">
        <f t="shared" si="23"/>
        <v>28.58</v>
      </c>
      <c r="O113" s="322">
        <f t="shared" si="24"/>
        <v>2819.3159999999962</v>
      </c>
      <c r="P113" s="203"/>
      <c r="Q113" s="172">
        <v>2124</v>
      </c>
      <c r="R113" s="242">
        <f t="shared" si="26"/>
        <v>0</v>
      </c>
      <c r="S113" s="380">
        <f t="shared" si="22"/>
        <v>0</v>
      </c>
      <c r="T113" s="13"/>
      <c r="U113" s="13"/>
    </row>
    <row r="114" spans="1:21" s="57" customFormat="1" ht="15" customHeight="1">
      <c r="A114" s="13"/>
      <c r="B114" s="58">
        <v>2125</v>
      </c>
      <c r="C114" s="159">
        <f t="shared" si="16"/>
        <v>8.2226539690628611E-3</v>
      </c>
      <c r="D114" s="160">
        <f t="shared" si="17"/>
        <v>188382</v>
      </c>
      <c r="E114" s="160">
        <f t="shared" si="20"/>
        <v>1549</v>
      </c>
      <c r="F114" s="160">
        <v>934</v>
      </c>
      <c r="G114" s="161">
        <v>19.03</v>
      </c>
      <c r="H114" s="161">
        <v>9.5500000000000007</v>
      </c>
      <c r="I114" s="161">
        <f t="shared" si="27"/>
        <v>1922.0299999999977</v>
      </c>
      <c r="J114" s="161">
        <f t="shared" si="27"/>
        <v>964.54999999999825</v>
      </c>
      <c r="K114" s="59">
        <f t="shared" si="19"/>
        <v>28.58</v>
      </c>
      <c r="L114" s="59">
        <f t="shared" si="21"/>
        <v>2857.9999999999959</v>
      </c>
      <c r="M114" s="203"/>
      <c r="N114" s="325">
        <f t="shared" si="23"/>
        <v>28.58</v>
      </c>
      <c r="O114" s="322">
        <f t="shared" si="24"/>
        <v>2847.8959999999961</v>
      </c>
      <c r="P114" s="203"/>
      <c r="Q114" s="172">
        <v>2125</v>
      </c>
      <c r="R114" s="242">
        <f t="shared" si="26"/>
        <v>0</v>
      </c>
      <c r="S114" s="380">
        <f t="shared" si="22"/>
        <v>0</v>
      </c>
      <c r="T114" s="13"/>
      <c r="U114" s="13"/>
    </row>
    <row r="115" spans="1:21" s="57" customFormat="1" ht="15" customHeight="1">
      <c r="A115" s="13"/>
      <c r="B115" s="58">
        <v>2126</v>
      </c>
      <c r="C115" s="159">
        <f t="shared" si="16"/>
        <v>8.1555933470576162E-3</v>
      </c>
      <c r="D115" s="160">
        <f t="shared" si="17"/>
        <v>189931</v>
      </c>
      <c r="E115" s="160">
        <f t="shared" si="20"/>
        <v>1549</v>
      </c>
      <c r="F115" s="160">
        <v>934</v>
      </c>
      <c r="G115" s="161">
        <v>19.03</v>
      </c>
      <c r="H115" s="161">
        <v>9.5500000000000007</v>
      </c>
      <c r="I115" s="161">
        <f t="shared" si="27"/>
        <v>1941.0599999999977</v>
      </c>
      <c r="J115" s="161">
        <f t="shared" si="27"/>
        <v>974.0999999999982</v>
      </c>
      <c r="K115" s="59">
        <f t="shared" si="19"/>
        <v>28.58</v>
      </c>
      <c r="L115" s="59">
        <f t="shared" si="21"/>
        <v>2886.5799999999958</v>
      </c>
      <c r="M115" s="203"/>
      <c r="N115" s="325">
        <f t="shared" si="23"/>
        <v>28.58</v>
      </c>
      <c r="O115" s="322">
        <f t="shared" si="24"/>
        <v>2876.475999999996</v>
      </c>
      <c r="P115" s="203"/>
      <c r="Q115" s="172">
        <v>2126</v>
      </c>
      <c r="R115" s="242">
        <f t="shared" si="26"/>
        <v>0</v>
      </c>
      <c r="S115" s="380">
        <f t="shared" si="22"/>
        <v>0</v>
      </c>
      <c r="T115" s="13"/>
      <c r="U115" s="13"/>
    </row>
    <row r="116" spans="1:21" s="57" customFormat="1" ht="15" customHeight="1">
      <c r="A116" s="13"/>
      <c r="B116" s="58">
        <v>2127</v>
      </c>
      <c r="C116" s="159">
        <f t="shared" si="16"/>
        <v>8.0896177146438271E-3</v>
      </c>
      <c r="D116" s="160">
        <f t="shared" si="17"/>
        <v>191480</v>
      </c>
      <c r="E116" s="160">
        <f t="shared" si="20"/>
        <v>1549</v>
      </c>
      <c r="F116" s="160">
        <v>934</v>
      </c>
      <c r="G116" s="161">
        <v>19.03</v>
      </c>
      <c r="H116" s="161">
        <v>9.5500000000000007</v>
      </c>
      <c r="I116" s="161">
        <f t="shared" si="27"/>
        <v>1960.0899999999976</v>
      </c>
      <c r="J116" s="161">
        <f t="shared" si="27"/>
        <v>983.64999999999816</v>
      </c>
      <c r="K116" s="59">
        <f t="shared" si="19"/>
        <v>28.58</v>
      </c>
      <c r="L116" s="59">
        <f t="shared" si="21"/>
        <v>2915.1599999999958</v>
      </c>
      <c r="M116" s="203"/>
      <c r="N116" s="325">
        <f t="shared" si="23"/>
        <v>28.58</v>
      </c>
      <c r="O116" s="322">
        <f t="shared" si="24"/>
        <v>2905.0559999999959</v>
      </c>
      <c r="P116" s="203"/>
      <c r="Q116" s="172">
        <v>2127</v>
      </c>
      <c r="R116" s="242">
        <f t="shared" si="26"/>
        <v>0</v>
      </c>
      <c r="S116" s="380">
        <f t="shared" si="22"/>
        <v>0</v>
      </c>
      <c r="T116" s="13"/>
      <c r="U116" s="13"/>
    </row>
    <row r="117" spans="1:21" s="57" customFormat="1" ht="15" customHeight="1">
      <c r="A117" s="13"/>
      <c r="B117" s="58">
        <v>2128</v>
      </c>
      <c r="C117" s="159">
        <f t="shared" si="16"/>
        <v>8.0247009516704743E-3</v>
      </c>
      <c r="D117" s="160">
        <f t="shared" si="17"/>
        <v>193029</v>
      </c>
      <c r="E117" s="160">
        <f t="shared" si="20"/>
        <v>1549</v>
      </c>
      <c r="F117" s="160">
        <v>934</v>
      </c>
      <c r="G117" s="161">
        <v>19.03</v>
      </c>
      <c r="H117" s="161">
        <v>9.5500000000000007</v>
      </c>
      <c r="I117" s="161">
        <f t="shared" si="27"/>
        <v>1979.1199999999976</v>
      </c>
      <c r="J117" s="161">
        <f t="shared" si="27"/>
        <v>993.19999999999811</v>
      </c>
      <c r="K117" s="59">
        <f t="shared" si="19"/>
        <v>28.58</v>
      </c>
      <c r="L117" s="59">
        <f t="shared" si="21"/>
        <v>2943.7399999999957</v>
      </c>
      <c r="M117" s="203"/>
      <c r="N117" s="325">
        <f t="shared" si="23"/>
        <v>28.58</v>
      </c>
      <c r="O117" s="322">
        <f t="shared" si="24"/>
        <v>2933.6359999999959</v>
      </c>
      <c r="P117" s="203"/>
      <c r="Q117" s="172">
        <v>2128</v>
      </c>
      <c r="R117" s="242">
        <f t="shared" si="26"/>
        <v>0</v>
      </c>
      <c r="S117" s="380">
        <f t="shared" si="22"/>
        <v>0</v>
      </c>
      <c r="T117" s="13"/>
      <c r="U117" s="13"/>
    </row>
    <row r="118" spans="1:21" s="57" customFormat="1" ht="15" customHeight="1">
      <c r="A118" s="13"/>
      <c r="B118" s="58">
        <v>2129</v>
      </c>
      <c r="C118" s="159">
        <f t="shared" si="16"/>
        <v>7.9608177697375864E-3</v>
      </c>
      <c r="D118" s="160">
        <f t="shared" si="17"/>
        <v>194578</v>
      </c>
      <c r="E118" s="160">
        <f t="shared" si="20"/>
        <v>1549</v>
      </c>
      <c r="F118" s="160">
        <v>934</v>
      </c>
      <c r="G118" s="161">
        <v>19.03</v>
      </c>
      <c r="H118" s="161">
        <v>9.5500000000000007</v>
      </c>
      <c r="I118" s="161">
        <f t="shared" si="27"/>
        <v>1998.1499999999976</v>
      </c>
      <c r="J118" s="161">
        <f t="shared" si="27"/>
        <v>1002.7499999999981</v>
      </c>
      <c r="K118" s="59">
        <f t="shared" si="19"/>
        <v>28.58</v>
      </c>
      <c r="L118" s="59">
        <f t="shared" si="21"/>
        <v>2972.3199999999956</v>
      </c>
      <c r="M118" s="203"/>
      <c r="N118" s="325">
        <f t="shared" si="23"/>
        <v>28.58</v>
      </c>
      <c r="O118" s="322">
        <f t="shared" si="24"/>
        <v>2962.2159999999958</v>
      </c>
      <c r="P118" s="203"/>
      <c r="Q118" s="172">
        <v>2129</v>
      </c>
      <c r="R118" s="242">
        <f t="shared" si="26"/>
        <v>0</v>
      </c>
      <c r="S118" s="380">
        <f t="shared" si="22"/>
        <v>0</v>
      </c>
      <c r="T118" s="13"/>
      <c r="U118" s="13"/>
    </row>
    <row r="119" spans="1:21" s="57" customFormat="1" ht="15" customHeight="1">
      <c r="A119" s="13"/>
      <c r="B119" s="58">
        <v>2130</v>
      </c>
      <c r="C119" s="159">
        <f t="shared" si="16"/>
        <v>7.8979436793506254E-3</v>
      </c>
      <c r="D119" s="160">
        <f t="shared" si="17"/>
        <v>196127</v>
      </c>
      <c r="E119" s="160">
        <f t="shared" si="20"/>
        <v>1549</v>
      </c>
      <c r="F119" s="160">
        <v>934</v>
      </c>
      <c r="G119" s="161">
        <v>19.03</v>
      </c>
      <c r="H119" s="161">
        <v>9.5500000000000007</v>
      </c>
      <c r="I119" s="161">
        <f t="shared" si="27"/>
        <v>2017.1799999999976</v>
      </c>
      <c r="J119" s="161">
        <f t="shared" si="27"/>
        <v>1012.299999999998</v>
      </c>
      <c r="K119" s="59">
        <f t="shared" si="19"/>
        <v>28.58</v>
      </c>
      <c r="L119" s="59">
        <f t="shared" si="21"/>
        <v>3000.8999999999955</v>
      </c>
      <c r="M119" s="203"/>
      <c r="N119" s="325">
        <f t="shared" si="23"/>
        <v>28.58</v>
      </c>
      <c r="O119" s="322">
        <f t="shared" si="24"/>
        <v>2990.7959999999957</v>
      </c>
      <c r="P119" s="203"/>
      <c r="Q119" s="172">
        <v>2130</v>
      </c>
      <c r="R119" s="242">
        <f t="shared" si="26"/>
        <v>0</v>
      </c>
      <c r="S119" s="380">
        <f t="shared" si="22"/>
        <v>0</v>
      </c>
      <c r="T119" s="13"/>
      <c r="U119" s="13"/>
    </row>
    <row r="120" spans="1:21" s="57" customFormat="1" ht="15" customHeight="1">
      <c r="A120" s="13"/>
      <c r="B120" s="58">
        <v>2131</v>
      </c>
      <c r="C120" s="159">
        <f t="shared" si="16"/>
        <v>7.8360549586191548E-3</v>
      </c>
      <c r="D120" s="160">
        <f t="shared" si="17"/>
        <v>197676</v>
      </c>
      <c r="E120" s="160">
        <f t="shared" si="20"/>
        <v>1549</v>
      </c>
      <c r="F120" s="160">
        <v>934</v>
      </c>
      <c r="G120" s="161">
        <v>19.03</v>
      </c>
      <c r="H120" s="161">
        <v>9.5500000000000007</v>
      </c>
      <c r="I120" s="161">
        <f t="shared" si="27"/>
        <v>2036.2099999999975</v>
      </c>
      <c r="J120" s="161">
        <f t="shared" si="27"/>
        <v>1021.849999999998</v>
      </c>
      <c r="K120" s="59">
        <f t="shared" si="19"/>
        <v>28.58</v>
      </c>
      <c r="L120" s="59">
        <f t="shared" si="21"/>
        <v>3029.4799999999955</v>
      </c>
      <c r="M120" s="203"/>
      <c r="N120" s="325">
        <f t="shared" si="23"/>
        <v>28.58</v>
      </c>
      <c r="O120" s="322">
        <f t="shared" si="24"/>
        <v>3019.3759999999957</v>
      </c>
      <c r="P120" s="203"/>
      <c r="Q120" s="172">
        <v>2131</v>
      </c>
      <c r="R120" s="242">
        <f t="shared" si="26"/>
        <v>0</v>
      </c>
      <c r="S120" s="380">
        <f t="shared" si="22"/>
        <v>0</v>
      </c>
      <c r="T120" s="13"/>
      <c r="U120" s="13"/>
    </row>
    <row r="121" spans="1:21" s="57" customFormat="1" ht="15" customHeight="1">
      <c r="A121" s="13"/>
      <c r="B121" s="58">
        <v>2132</v>
      </c>
      <c r="C121" s="159">
        <f t="shared" si="16"/>
        <v>7.7751286234157358E-3</v>
      </c>
      <c r="D121" s="160">
        <f t="shared" si="17"/>
        <v>199225</v>
      </c>
      <c r="E121" s="160">
        <f t="shared" si="20"/>
        <v>1549</v>
      </c>
      <c r="F121" s="160">
        <v>934</v>
      </c>
      <c r="G121" s="161">
        <v>19.03</v>
      </c>
      <c r="H121" s="161">
        <v>9.5500000000000007</v>
      </c>
      <c r="I121" s="161">
        <f t="shared" si="27"/>
        <v>2055.2399999999975</v>
      </c>
      <c r="J121" s="161">
        <f t="shared" si="27"/>
        <v>1031.399999999998</v>
      </c>
      <c r="K121" s="59">
        <f t="shared" si="19"/>
        <v>28.58</v>
      </c>
      <c r="L121" s="59">
        <f t="shared" si="21"/>
        <v>3058.0599999999954</v>
      </c>
      <c r="M121" s="203"/>
      <c r="N121" s="325">
        <f t="shared" si="23"/>
        <v>28.58</v>
      </c>
      <c r="O121" s="322">
        <f t="shared" si="24"/>
        <v>3047.9559999999956</v>
      </c>
      <c r="P121" s="203"/>
      <c r="Q121" s="172">
        <v>2132</v>
      </c>
      <c r="R121" s="242">
        <f t="shared" si="26"/>
        <v>0</v>
      </c>
      <c r="S121" s="380">
        <f t="shared" si="22"/>
        <v>0</v>
      </c>
      <c r="T121" s="13"/>
      <c r="U121" s="13"/>
    </row>
    <row r="122" spans="1:21" s="57" customFormat="1" ht="15" customHeight="1">
      <c r="A122" s="13"/>
      <c r="B122" s="58">
        <v>2133</v>
      </c>
      <c r="C122" s="159">
        <f t="shared" si="16"/>
        <v>7.7151423989161947E-3</v>
      </c>
      <c r="D122" s="160">
        <f t="shared" si="17"/>
        <v>200774</v>
      </c>
      <c r="E122" s="160">
        <f t="shared" si="20"/>
        <v>1549</v>
      </c>
      <c r="F122" s="160">
        <v>934</v>
      </c>
      <c r="G122" s="161">
        <v>19.03</v>
      </c>
      <c r="H122" s="161">
        <v>9.5500000000000007</v>
      </c>
      <c r="I122" s="161">
        <f t="shared" si="27"/>
        <v>2074.2699999999977</v>
      </c>
      <c r="J122" s="161">
        <f t="shared" si="27"/>
        <v>1040.949999999998</v>
      </c>
      <c r="K122" s="59">
        <f t="shared" si="19"/>
        <v>28.58</v>
      </c>
      <c r="L122" s="59">
        <f t="shared" si="21"/>
        <v>3086.6399999999953</v>
      </c>
      <c r="M122" s="203"/>
      <c r="N122" s="325">
        <f t="shared" si="23"/>
        <v>28.58</v>
      </c>
      <c r="O122" s="322">
        <f t="shared" si="24"/>
        <v>3076.5359999999955</v>
      </c>
      <c r="P122" s="203"/>
      <c r="Q122" s="172">
        <v>2133</v>
      </c>
      <c r="R122" s="242">
        <f t="shared" si="26"/>
        <v>0</v>
      </c>
      <c r="S122" s="380">
        <f t="shared" si="22"/>
        <v>0</v>
      </c>
      <c r="T122" s="13"/>
      <c r="U122" s="13"/>
    </row>
    <row r="123" spans="1:21" s="57" customFormat="1" ht="15" customHeight="1">
      <c r="A123" s="13"/>
      <c r="B123" s="58">
        <v>2134</v>
      </c>
      <c r="C123" s="159">
        <f t="shared" si="16"/>
        <v>7.6560746924472251E-3</v>
      </c>
      <c r="D123" s="160">
        <f t="shared" si="17"/>
        <v>202323</v>
      </c>
      <c r="E123" s="160">
        <f t="shared" si="20"/>
        <v>1549</v>
      </c>
      <c r="F123" s="160">
        <v>934</v>
      </c>
      <c r="G123" s="161">
        <v>19.03</v>
      </c>
      <c r="H123" s="161">
        <v>9.5500000000000007</v>
      </c>
      <c r="I123" s="161">
        <f t="shared" si="27"/>
        <v>2093.2999999999979</v>
      </c>
      <c r="J123" s="161">
        <f t="shared" si="27"/>
        <v>1050.499999999998</v>
      </c>
      <c r="K123" s="59">
        <f t="shared" si="19"/>
        <v>28.58</v>
      </c>
      <c r="L123" s="59">
        <f t="shared" si="21"/>
        <v>3115.2199999999953</v>
      </c>
      <c r="M123" s="203"/>
      <c r="N123" s="325">
        <f t="shared" si="23"/>
        <v>28.58</v>
      </c>
      <c r="O123" s="322">
        <f t="shared" si="24"/>
        <v>3105.1159999999954</v>
      </c>
      <c r="P123" s="203"/>
      <c r="Q123" s="172">
        <v>2134</v>
      </c>
      <c r="R123" s="242">
        <f t="shared" si="26"/>
        <v>0</v>
      </c>
      <c r="S123" s="380">
        <f t="shared" si="22"/>
        <v>0</v>
      </c>
      <c r="T123" s="13"/>
      <c r="U123" s="13"/>
    </row>
    <row r="124" spans="1:21" s="57" customFormat="1" ht="15" customHeight="1" thickBot="1">
      <c r="A124" s="13"/>
      <c r="B124" s="58">
        <v>2135</v>
      </c>
      <c r="C124" s="159" t="e">
        <f>(#REF!-D124)/D124</f>
        <v>#REF!</v>
      </c>
      <c r="D124" s="160">
        <f t="shared" si="17"/>
        <v>203872</v>
      </c>
      <c r="E124" s="160">
        <f t="shared" si="20"/>
        <v>1549</v>
      </c>
      <c r="F124" s="160">
        <v>934</v>
      </c>
      <c r="G124" s="161">
        <v>19.03</v>
      </c>
      <c r="H124" s="161">
        <v>9.5500000000000007</v>
      </c>
      <c r="I124" s="161">
        <f t="shared" si="27"/>
        <v>2112.3299999999981</v>
      </c>
      <c r="J124" s="161">
        <f t="shared" si="27"/>
        <v>1060.0499999999979</v>
      </c>
      <c r="K124" s="59">
        <f t="shared" si="19"/>
        <v>28.58</v>
      </c>
      <c r="L124" s="59">
        <f t="shared" si="21"/>
        <v>3143.7999999999952</v>
      </c>
      <c r="M124" s="203"/>
      <c r="N124" s="326">
        <f>K124</f>
        <v>28.58</v>
      </c>
      <c r="O124" s="323">
        <f>N124+O123</f>
        <v>3133.6959999999954</v>
      </c>
      <c r="P124" s="203"/>
      <c r="Q124" s="211">
        <v>2135</v>
      </c>
      <c r="R124" s="320">
        <f t="shared" si="26"/>
        <v>0</v>
      </c>
      <c r="S124" s="382"/>
      <c r="T124" s="13"/>
      <c r="U124" s="13"/>
    </row>
  </sheetData>
  <mergeCells count="4">
    <mergeCell ref="Q11:S11"/>
    <mergeCell ref="B11:L11"/>
    <mergeCell ref="N12:O12"/>
    <mergeCell ref="N11:O11"/>
  </mergeCells>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A1EF28-0D97-4F74-8833-94CC7659E358}">
  <sheetPr codeName="Sheet49">
    <tabColor rgb="FFFF7C80"/>
    <pageSetUpPr fitToPage="1"/>
  </sheetPr>
  <dimension ref="B2:M37"/>
  <sheetViews>
    <sheetView showGridLines="0" workbookViewId="0">
      <selection activeCell="E23" sqref="E23"/>
    </sheetView>
  </sheetViews>
  <sheetFormatPr defaultColWidth="9.109375" defaultRowHeight="12"/>
  <cols>
    <col min="1" max="1" width="9.109375" style="65"/>
    <col min="2" max="2" width="10.88671875" style="65" customWidth="1"/>
    <col min="3" max="3" width="37.44140625" style="65" customWidth="1"/>
    <col min="4" max="4" width="17.88671875" style="65" customWidth="1"/>
    <col min="5" max="5" width="16.109375" style="65" customWidth="1"/>
    <col min="6" max="7" width="12.44140625" style="65" customWidth="1"/>
    <col min="8" max="9" width="19.88671875" style="65" customWidth="1"/>
    <col min="10" max="10" width="22.88671875" style="65" customWidth="1"/>
    <col min="11" max="11" width="24" style="65" customWidth="1"/>
    <col min="12" max="13" width="21.5546875" style="65" customWidth="1"/>
    <col min="14" max="16384" width="9.109375" style="65"/>
  </cols>
  <sheetData>
    <row r="2" spans="2:13">
      <c r="B2" s="67"/>
    </row>
    <row r="3" spans="2:13" ht="12.6" thickBot="1">
      <c r="B3" s="64" t="s">
        <v>181</v>
      </c>
    </row>
    <row r="4" spans="2:13" ht="32.25" customHeight="1" thickBot="1">
      <c r="B4" s="777" t="s">
        <v>31</v>
      </c>
      <c r="C4" s="778"/>
      <c r="D4" s="779" t="s">
        <v>90</v>
      </c>
      <c r="E4" s="778"/>
      <c r="F4" s="779" t="s">
        <v>2</v>
      </c>
      <c r="G4" s="778"/>
      <c r="H4" s="780" t="s">
        <v>52</v>
      </c>
      <c r="I4" s="778"/>
      <c r="J4" s="779" t="s">
        <v>53</v>
      </c>
      <c r="K4" s="780"/>
      <c r="L4" s="775" t="s">
        <v>126</v>
      </c>
      <c r="M4" s="776"/>
    </row>
    <row r="5" spans="2:13" s="68" customFormat="1" ht="23.25" customHeight="1">
      <c r="B5" s="556" t="s">
        <v>56</v>
      </c>
      <c r="C5" s="557" t="s">
        <v>57</v>
      </c>
      <c r="D5" s="558" t="s">
        <v>91</v>
      </c>
      <c r="E5" s="558" t="s">
        <v>92</v>
      </c>
      <c r="F5" s="558" t="s">
        <v>4</v>
      </c>
      <c r="G5" s="558" t="s">
        <v>5</v>
      </c>
      <c r="H5" s="559" t="s">
        <v>50</v>
      </c>
      <c r="I5" s="559" t="s">
        <v>51</v>
      </c>
      <c r="J5" s="559" t="s">
        <v>152</v>
      </c>
      <c r="K5" s="559" t="s">
        <v>154</v>
      </c>
      <c r="L5" s="560" t="s">
        <v>54</v>
      </c>
      <c r="M5" s="561" t="s">
        <v>55</v>
      </c>
    </row>
    <row r="6" spans="2:13" s="68" customFormat="1" ht="23.25" customHeight="1">
      <c r="B6" s="359">
        <v>39</v>
      </c>
      <c r="C6" s="360" t="str">
        <f>INDEX('Project List '!$C$6:$C$44, MATCH('S-Treatment'!B6,'Project List '!$B$6:$B$44,0))</f>
        <v>Headworks</v>
      </c>
      <c r="D6" s="361" t="str">
        <f>INDEX('Project List '!$E$6:$E$44, MATCH(B6,'Project List '!$B$6:$B$44,0))</f>
        <v>Town</v>
      </c>
      <c r="E6" s="361" t="str">
        <f>INDEX('Project List '!$F$6:$F$44, MATCH(B6,'Project List '!$B$6:$B$44,0))</f>
        <v>OSL</v>
      </c>
      <c r="F6" s="361">
        <f>INDEX('Project List '!$G$6:$G$44, MATCH(B6,'Project List '!$B$6:$B$44,0))</f>
        <v>2026</v>
      </c>
      <c r="G6" s="361">
        <f>INDEX('Project List '!$H$6:$H$44, MATCH(B6,'Project List '!$B$6:$B$44,0))</f>
        <v>2026</v>
      </c>
      <c r="H6" s="362">
        <f>INDEX('Project List '!$I$6:$I$44, MATCH(B6,'Project List '!$B$6:$B$44,0))</f>
        <v>0.5</v>
      </c>
      <c r="I6" s="362">
        <f>INDEX('Project List '!$J$6:$J$44, MATCH(B6,'Project List '!$B$6:$B$44,0))</f>
        <v>0.5</v>
      </c>
      <c r="J6" s="363">
        <f>INDEX('Project List '!$X$6:$X$44, MATCH(B6,'Project List '!$B$6:$B$44,0))</f>
        <v>2687673</v>
      </c>
      <c r="K6" s="363">
        <f>INDEX('Project List '!$AF$6:$AF$44, MATCH(B6,'Project List '!$B$6:$B$44,0))</f>
        <v>455520</v>
      </c>
      <c r="L6" s="363">
        <f>INDEX('Project List '!$AI$6:$AI$44, MATCH(B6,'Project List '!$B$6:$B$44,0))</f>
        <v>227760</v>
      </c>
      <c r="M6" s="364">
        <f>INDEX('Project List '!$AJ$6:$AJ$44, MATCH(B6,'Project List '!$B$6:$B$44,0))</f>
        <v>227760</v>
      </c>
    </row>
    <row r="7" spans="2:13" s="68" customFormat="1" ht="23.25" customHeight="1">
      <c r="B7" s="359">
        <v>92</v>
      </c>
      <c r="C7" s="360" t="str">
        <f>INDEX('Project List '!$C$6:$C$44, MATCH('S-Treatment'!B7,'Project List '!$B$6:$B$44,0))</f>
        <v>WWTP Ultraviolet Disinfection</v>
      </c>
      <c r="D7" s="361" t="str">
        <f>INDEX('Project List '!$E$6:$E$44, MATCH(B7,'Project List '!$B$6:$B$44,0))</f>
        <v>Town</v>
      </c>
      <c r="E7" s="361" t="str">
        <f>INDEX('Project List '!$F$6:$F$44, MATCH(B7,'Project List '!$B$6:$B$44,0))</f>
        <v>OSL</v>
      </c>
      <c r="F7" s="361">
        <f>INDEX('Project List '!$G$6:$G$44, MATCH(B7,'Project List '!$B$6:$B$44,0))</f>
        <v>2027</v>
      </c>
      <c r="G7" s="361">
        <f>INDEX('Project List '!$H$6:$H$44, MATCH(B7,'Project List '!$B$6:$B$44,0))</f>
        <v>2029</v>
      </c>
      <c r="H7" s="629">
        <f>INDEX('Project List '!$I$6:$I$44, MATCH(B7,'Project List '!$B$6:$B$44,0))</f>
        <v>1</v>
      </c>
      <c r="I7" s="629">
        <f>INDEX('Project List '!$J$6:$J$44, MATCH(B7,'Project List '!$B$6:$B$44,0))</f>
        <v>0</v>
      </c>
      <c r="J7" s="363">
        <f>INDEX('Project List '!$X$6:$X$44, MATCH(B7,'Project List '!$B$6:$B$44,0))</f>
        <v>3601122.2499999986</v>
      </c>
      <c r="K7" s="363">
        <f>INDEX('Project List '!$AF$6:$AF$44, MATCH(B7,'Project List '!$B$6:$B$44,0))</f>
        <v>3601122.2499999986</v>
      </c>
      <c r="L7" s="363">
        <f>INDEX('Project List '!$AI$6:$AI$44, MATCH(B7,'Project List '!$B$6:$B$44,0))</f>
        <v>3601122.2499999986</v>
      </c>
      <c r="M7" s="364">
        <f>INDEX('Project List '!$AJ$6:$AJ$44, MATCH(B7,'Project List '!$B$6:$B$44,0))</f>
        <v>0</v>
      </c>
    </row>
    <row r="8" spans="2:13" s="68" customFormat="1" ht="23.25" customHeight="1">
      <c r="B8" s="359">
        <v>40</v>
      </c>
      <c r="C8" s="360" t="str">
        <f>INDEX('Project List '!$C$6:$C$44, MATCH('S-Treatment'!B8,'Project List '!$B$6:$B$44,0))</f>
        <v>WWTP Activated Primary Clarifier</v>
      </c>
      <c r="D8" s="361" t="str">
        <f>INDEX('Project List '!$E$6:$E$44, MATCH(B8,'Project List '!$B$6:$B$44,0))</f>
        <v>Town</v>
      </c>
      <c r="E8" s="361" t="str">
        <f>INDEX('Project List '!$F$6:$F$44, MATCH(B8,'Project List '!$B$6:$B$44,0))</f>
        <v>OSL</v>
      </c>
      <c r="F8" s="361">
        <f>INDEX('Project List '!$G$6:$G$44, MATCH(B8,'Project List '!$B$6:$B$44,0))</f>
        <v>2030</v>
      </c>
      <c r="G8" s="361">
        <f>INDEX('Project List '!$H$6:$H$44, MATCH(B8,'Project List '!$B$6:$B$44,0))</f>
        <v>2032</v>
      </c>
      <c r="H8" s="362">
        <f>INDEX('Project List '!$I$6:$I$44, MATCH(B8,'Project List '!$B$6:$B$44,0))</f>
        <v>0.7</v>
      </c>
      <c r="I8" s="362">
        <f>INDEX('Project List '!$J$6:$J$44, MATCH(B8,'Project List '!$B$6:$B$44,0))</f>
        <v>0.30000000000000004</v>
      </c>
      <c r="J8" s="363">
        <f>INDEX('Project List '!$X$6:$X$44, MATCH(B8,'Project List '!$B$6:$B$44,0))</f>
        <v>5992896.3281249972</v>
      </c>
      <c r="K8" s="363">
        <f>INDEX('Project List '!$AF$6:$AF$44, MATCH(B8,'Project List '!$B$6:$B$44,0))</f>
        <v>5992896.3281249972</v>
      </c>
      <c r="L8" s="363">
        <f>INDEX('Project List '!$AI$6:$AI$44, MATCH(B8,'Project List '!$B$6:$B$44,0))</f>
        <v>4195027.4296874981</v>
      </c>
      <c r="M8" s="364">
        <f>INDEX('Project List '!$AJ$6:$AJ$44, MATCH(B8,'Project List '!$B$6:$B$44,0))</f>
        <v>1797868.8984374995</v>
      </c>
    </row>
    <row r="9" spans="2:13" s="68" customFormat="1" ht="23.25" customHeight="1">
      <c r="B9" s="369">
        <v>41</v>
      </c>
      <c r="C9" s="370" t="str">
        <f>INDEX('Project List '!$C$6:$C$44, MATCH('S-Treatment'!B9,'Project List '!$B$6:$B$44,0))</f>
        <v>WWTP  Dissolved Air Flotation #2 + EQ</v>
      </c>
      <c r="D9" s="371" t="str">
        <f>INDEX('Project List '!$E$6:$E$44, MATCH(B9,'Project List '!$B$6:$B$44,0))</f>
        <v>Town</v>
      </c>
      <c r="E9" s="371" t="str">
        <f>INDEX('Project List '!$F$6:$F$44, MATCH(B9,'Project List '!$B$6:$B$44,0))</f>
        <v>OSL</v>
      </c>
      <c r="F9" s="371">
        <f>INDEX('Project List '!$G$6:$G$44, MATCH(B9,'Project List '!$B$6:$B$44,0))</f>
        <v>2026</v>
      </c>
      <c r="G9" s="371">
        <f>INDEX('Project List '!$H$6:$H$44, MATCH(B9,'Project List '!$B$6:$B$44,0))</f>
        <v>2028</v>
      </c>
      <c r="H9" s="372">
        <f>INDEX('Project List '!$I$6:$I$44, MATCH(B9,'Project List '!$B$6:$B$44,0))</f>
        <v>1</v>
      </c>
      <c r="I9" s="372">
        <f>INDEX('Project List '!$J$6:$J$44, MATCH(B9,'Project List '!$B$6:$B$44,0))</f>
        <v>0</v>
      </c>
      <c r="J9" s="373">
        <f>INDEX('Project List '!$X$6:$X$44, MATCH(B9,'Project List '!$B$6:$B$44,0))</f>
        <v>3143443.7343749986</v>
      </c>
      <c r="K9" s="373">
        <f>INDEX('Project List '!$AF$6:$AF$44, MATCH(B9,'Project List '!$B$6:$B$44,0))</f>
        <v>3143443.7343749986</v>
      </c>
      <c r="L9" s="373">
        <f>INDEX('Project List '!$AI$6:$AI$44, MATCH(B9,'Project List '!$B$6:$B$44,0))</f>
        <v>3143443.7343749986</v>
      </c>
      <c r="M9" s="374">
        <f>INDEX('Project List '!$AJ$6:$AJ$44, MATCH(B9,'Project List '!$B$6:$B$44,0))</f>
        <v>0</v>
      </c>
    </row>
    <row r="10" spans="2:13" ht="12.6" thickBot="1">
      <c r="B10" s="365"/>
      <c r="C10" s="366"/>
      <c r="D10" s="367"/>
      <c r="E10" s="367"/>
      <c r="F10" s="367"/>
      <c r="G10" s="367"/>
      <c r="H10" s="368"/>
      <c r="I10" s="368"/>
      <c r="J10" s="640">
        <f>SUM(J6:J9)</f>
        <v>15425135.312499994</v>
      </c>
      <c r="K10" s="640">
        <f>SUM(K6:K9)</f>
        <v>13192982.312499994</v>
      </c>
      <c r="L10" s="640">
        <f>SUM(L6:L9)</f>
        <v>11167353.414062494</v>
      </c>
      <c r="M10" s="641">
        <f>SUM(M6:M9)</f>
        <v>2025628.8984374995</v>
      </c>
    </row>
    <row r="11" spans="2:13" s="375" customFormat="1" ht="10.199999999999999"/>
    <row r="12" spans="2:13" s="375" customFormat="1" ht="10.199999999999999"/>
    <row r="13" spans="2:13" s="375" customFormat="1" ht="10.199999999999999"/>
    <row r="14" spans="2:13" s="375" customFormat="1" ht="10.199999999999999"/>
    <row r="15" spans="2:13" s="375" customFormat="1" ht="10.199999999999999"/>
    <row r="16" spans="2:13" s="375" customFormat="1" ht="10.199999999999999"/>
    <row r="17" s="375" customFormat="1" ht="10.199999999999999"/>
    <row r="18" s="375" customFormat="1" ht="10.199999999999999"/>
    <row r="19" s="375" customFormat="1" ht="10.199999999999999"/>
    <row r="20" s="375" customFormat="1" ht="10.199999999999999"/>
    <row r="21" s="375" customFormat="1" ht="10.199999999999999"/>
    <row r="22" s="375" customFormat="1" ht="10.199999999999999"/>
    <row r="23" s="375" customFormat="1" ht="10.199999999999999"/>
    <row r="24" s="375" customFormat="1" ht="10.199999999999999"/>
    <row r="25" s="375" customFormat="1" ht="10.199999999999999"/>
    <row r="26" s="375" customFormat="1" ht="10.199999999999999"/>
    <row r="27" s="375" customFormat="1" ht="10.199999999999999"/>
    <row r="28" s="375" customFormat="1" ht="10.199999999999999"/>
    <row r="29" s="375" customFormat="1" ht="10.199999999999999"/>
    <row r="30" s="375" customFormat="1" ht="10.199999999999999"/>
    <row r="31" s="375" customFormat="1" ht="10.199999999999999"/>
    <row r="32" s="375" customFormat="1" ht="10.199999999999999"/>
    <row r="33" s="375" customFormat="1" ht="10.199999999999999"/>
    <row r="34" s="375" customFormat="1" ht="10.199999999999999"/>
    <row r="35" s="375" customFormat="1" ht="10.199999999999999"/>
    <row r="36" s="375" customFormat="1" ht="10.199999999999999"/>
    <row r="37" s="375" customFormat="1" ht="10.199999999999999"/>
  </sheetData>
  <mergeCells count="6">
    <mergeCell ref="L4:M4"/>
    <mergeCell ref="B4:C4"/>
    <mergeCell ref="D4:E4"/>
    <mergeCell ref="F4:G4"/>
    <mergeCell ref="H4:I4"/>
    <mergeCell ref="J4:K4"/>
  </mergeCells>
  <pageMargins left="0.25" right="0.25" top="0.75" bottom="0.75" header="0.3" footer="0.3"/>
  <pageSetup paperSize="4" scale="42"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1A89C8-004A-4614-AA71-B05066697CD3}">
  <sheetPr codeName="Sheet66">
    <tabColor rgb="FFC00000"/>
  </sheetPr>
  <dimension ref="A1:BU85"/>
  <sheetViews>
    <sheetView showGridLines="0" topLeftCell="B9" zoomScale="70" zoomScaleNormal="70" workbookViewId="0">
      <selection activeCell="L51" sqref="L51"/>
    </sheetView>
  </sheetViews>
  <sheetFormatPr defaultColWidth="9.109375" defaultRowHeight="14.4"/>
  <cols>
    <col min="1" max="1" width="37" customWidth="1"/>
    <col min="2" max="2" width="69.5546875" customWidth="1"/>
    <col min="3" max="3" width="20.109375" customWidth="1"/>
    <col min="4" max="5" width="19.5546875" customWidth="1"/>
    <col min="6" max="6" width="25.44140625" customWidth="1"/>
    <col min="7" max="9" width="23.109375" style="1" customWidth="1"/>
    <col min="10" max="12" width="25.109375" customWidth="1"/>
    <col min="13" max="13" width="18.6640625" customWidth="1"/>
    <col min="14" max="14" width="20.109375" customWidth="1"/>
    <col min="15" max="15" width="29.109375" customWidth="1"/>
    <col min="16" max="16" width="30.21875" customWidth="1"/>
    <col min="17" max="17" width="26" customWidth="1"/>
    <col min="18" max="18" width="20.109375" customWidth="1"/>
    <col min="19" max="19" width="17.88671875" customWidth="1"/>
    <col min="20" max="20" width="18.21875" customWidth="1"/>
    <col min="21" max="21" width="16.88671875" customWidth="1"/>
    <col min="22" max="22" width="20" customWidth="1"/>
    <col min="23" max="23" width="18.21875" customWidth="1"/>
    <col min="24" max="24" width="19.5546875" customWidth="1"/>
    <col min="25" max="25" width="18.6640625" customWidth="1"/>
    <col min="26" max="26" width="20" customWidth="1"/>
    <col min="27" max="27" width="17.109375" customWidth="1"/>
    <col min="28" max="28" width="16.44140625" customWidth="1"/>
    <col min="29" max="29" width="15.44140625" customWidth="1"/>
    <col min="30" max="30" width="16" customWidth="1"/>
    <col min="31" max="31" width="15.88671875" customWidth="1"/>
    <col min="32" max="34" width="18.21875" customWidth="1"/>
    <col min="35" max="35" width="17.44140625" customWidth="1"/>
    <col min="36" max="36" width="19.5546875" customWidth="1"/>
    <col min="37" max="37" width="17.44140625" customWidth="1"/>
    <col min="38" max="38" width="16.44140625" customWidth="1"/>
    <col min="39" max="73" width="18.88671875" customWidth="1"/>
    <col min="74" max="74" width="20.21875" customWidth="1"/>
    <col min="75" max="75" width="18.88671875" customWidth="1"/>
    <col min="76" max="76" width="20" customWidth="1"/>
    <col min="77" max="77" width="17.109375" customWidth="1"/>
    <col min="78" max="78" width="20.21875" customWidth="1"/>
    <col min="79" max="79" width="16.88671875" customWidth="1"/>
    <col min="80" max="80" width="16.21875" customWidth="1"/>
    <col min="81" max="81" width="21.109375" customWidth="1"/>
    <col min="82" max="82" width="19.109375" customWidth="1"/>
  </cols>
  <sheetData>
    <row r="1" spans="1:73" ht="21" customHeight="1">
      <c r="B1" s="590"/>
      <c r="C1" s="590"/>
      <c r="D1" s="590"/>
    </row>
    <row r="3" spans="1:73" ht="15.6">
      <c r="B3" s="794" t="s">
        <v>130</v>
      </c>
      <c r="C3" s="794"/>
      <c r="D3" s="794"/>
      <c r="E3" s="794"/>
      <c r="F3" s="794"/>
      <c r="G3" s="794"/>
      <c r="H3" s="794"/>
      <c r="I3" s="794"/>
      <c r="J3" s="794"/>
      <c r="K3" s="17"/>
      <c r="L3" s="17"/>
      <c r="M3" s="2"/>
      <c r="N3" s="29"/>
      <c r="O3" s="30"/>
      <c r="P3" s="30"/>
      <c r="Q3" s="31"/>
      <c r="R3" s="29"/>
      <c r="S3" s="32"/>
      <c r="T3" s="32"/>
      <c r="U3" s="32"/>
      <c r="V3" s="32"/>
      <c r="W3" s="32"/>
      <c r="X3" s="32"/>
      <c r="Y3" s="32"/>
      <c r="Z3" s="32"/>
      <c r="AA3" s="32"/>
      <c r="AB3" s="32"/>
      <c r="AC3" s="32"/>
      <c r="AD3" s="32"/>
      <c r="AE3" s="32"/>
      <c r="AF3" s="32"/>
      <c r="AG3" s="32"/>
      <c r="AH3" s="32"/>
      <c r="AI3" s="32"/>
      <c r="AJ3" s="32"/>
      <c r="AK3" s="32"/>
      <c r="AL3" s="32"/>
      <c r="AM3" s="32"/>
      <c r="AN3" s="32"/>
      <c r="AO3" s="32"/>
      <c r="AP3" s="32"/>
      <c r="AQ3" s="32"/>
      <c r="AR3" s="32"/>
      <c r="AS3" s="32"/>
      <c r="AT3" s="32"/>
      <c r="AU3" s="32"/>
      <c r="AV3" s="32"/>
      <c r="AW3" s="32"/>
      <c r="AX3" s="32"/>
      <c r="AY3" s="32"/>
      <c r="AZ3" s="32"/>
      <c r="BA3" s="32"/>
      <c r="BB3" s="32"/>
      <c r="BC3" s="32"/>
      <c r="BD3" s="32"/>
      <c r="BE3" s="32"/>
      <c r="BF3" s="32"/>
      <c r="BG3" s="32"/>
      <c r="BH3" s="32"/>
      <c r="BI3" s="32"/>
      <c r="BJ3" s="32"/>
      <c r="BK3" s="32"/>
      <c r="BL3" s="32"/>
      <c r="BM3" s="32"/>
      <c r="BN3" s="32"/>
      <c r="BO3" s="32"/>
      <c r="BP3" s="32"/>
      <c r="BQ3" s="32"/>
      <c r="BR3" s="32"/>
      <c r="BS3" s="32"/>
      <c r="BT3" s="32"/>
      <c r="BU3" s="32"/>
    </row>
    <row r="4" spans="1:73" ht="15.6">
      <c r="B4" s="795" t="s">
        <v>32</v>
      </c>
      <c r="C4" s="795"/>
      <c r="D4" s="795"/>
      <c r="E4" s="795"/>
      <c r="F4" s="795"/>
      <c r="G4" s="795"/>
      <c r="H4" s="795"/>
      <c r="I4" s="795"/>
      <c r="J4" s="795"/>
      <c r="K4" s="17"/>
      <c r="L4" s="17"/>
      <c r="M4" s="17"/>
      <c r="N4" s="29"/>
      <c r="O4" s="30"/>
      <c r="P4" s="30"/>
      <c r="Q4" s="31"/>
      <c r="R4" s="29"/>
      <c r="S4" s="32"/>
      <c r="T4" s="32"/>
      <c r="U4" s="32"/>
      <c r="V4" s="32"/>
      <c r="W4" s="32"/>
      <c r="X4" s="32"/>
      <c r="Y4" s="32"/>
      <c r="Z4" s="32"/>
      <c r="AA4" s="32"/>
      <c r="AB4" s="32"/>
      <c r="AC4" s="32"/>
      <c r="AD4" s="32"/>
      <c r="AE4" s="32"/>
      <c r="AF4" s="32"/>
      <c r="AG4" s="32"/>
      <c r="AH4" s="32"/>
      <c r="AI4" s="32"/>
      <c r="AJ4" s="32"/>
      <c r="AK4" s="32"/>
      <c r="AL4" s="32"/>
      <c r="AM4" s="32"/>
      <c r="AN4" s="32"/>
      <c r="AO4" s="32"/>
      <c r="AP4" s="32"/>
      <c r="AQ4" s="32"/>
      <c r="AR4" s="32"/>
      <c r="AS4" s="32"/>
      <c r="AT4" s="32"/>
      <c r="AU4" s="32"/>
      <c r="AV4" s="32"/>
      <c r="AW4" s="32"/>
      <c r="AX4" s="32"/>
      <c r="AY4" s="32"/>
      <c r="AZ4" s="32"/>
      <c r="BA4" s="32"/>
      <c r="BB4" s="32"/>
      <c r="BC4" s="32"/>
      <c r="BD4" s="32"/>
      <c r="BE4" s="32"/>
      <c r="BF4" s="32"/>
      <c r="BG4" s="32"/>
      <c r="BH4" s="32"/>
      <c r="BI4" s="32"/>
      <c r="BJ4" s="32"/>
      <c r="BK4" s="32"/>
      <c r="BL4" s="32"/>
      <c r="BM4" s="32"/>
      <c r="BN4" s="32"/>
      <c r="BO4" s="32"/>
      <c r="BP4" s="32"/>
      <c r="BQ4" s="32"/>
      <c r="BR4" s="32"/>
      <c r="BS4" s="32"/>
      <c r="BT4" s="32"/>
      <c r="BU4" s="32"/>
    </row>
    <row r="5" spans="1:73" ht="15.6">
      <c r="B5" s="794" t="str">
        <f>Assumptions!B3&amp;" $s"</f>
        <v>2026 $s</v>
      </c>
      <c r="C5" s="794"/>
      <c r="D5" s="794"/>
      <c r="E5" s="794"/>
      <c r="F5" s="794"/>
      <c r="G5" s="794"/>
      <c r="H5" s="794"/>
      <c r="I5" s="794"/>
      <c r="J5" s="794"/>
      <c r="K5" s="17"/>
      <c r="L5" s="17"/>
      <c r="M5" s="54"/>
      <c r="N5" s="29"/>
      <c r="O5" s="30"/>
      <c r="P5" s="30"/>
      <c r="Q5" s="31"/>
      <c r="R5" s="29"/>
      <c r="S5" s="32"/>
      <c r="T5" s="32"/>
      <c r="U5" s="32"/>
      <c r="V5" s="32"/>
      <c r="W5" s="32"/>
      <c r="X5" s="32"/>
      <c r="Y5" s="32"/>
      <c r="Z5" s="32"/>
      <c r="AA5" s="32"/>
      <c r="AB5" s="32"/>
      <c r="AC5" s="32"/>
      <c r="AD5" s="32"/>
      <c r="AE5" s="32"/>
      <c r="AF5" s="32"/>
      <c r="AG5" s="32"/>
      <c r="AH5" s="32"/>
      <c r="AI5" s="32"/>
      <c r="AJ5" s="32"/>
      <c r="AK5" s="32"/>
      <c r="AL5" s="32"/>
      <c r="AM5" s="32"/>
      <c r="AN5" s="32"/>
      <c r="AO5" s="32"/>
      <c r="AP5" s="32"/>
      <c r="AQ5" s="32"/>
      <c r="AR5" s="32"/>
      <c r="AS5" s="32"/>
      <c r="AT5" s="32"/>
      <c r="AU5" s="32"/>
      <c r="AV5" s="32"/>
      <c r="AW5" s="32"/>
      <c r="AX5" s="32"/>
      <c r="AY5" s="32"/>
      <c r="AZ5" s="32"/>
      <c r="BA5" s="32"/>
      <c r="BB5" s="32"/>
      <c r="BC5" s="32"/>
      <c r="BD5" s="32"/>
      <c r="BE5" s="32"/>
      <c r="BF5" s="32"/>
      <c r="BG5" s="32"/>
      <c r="BH5" s="32"/>
      <c r="BI5" s="32"/>
      <c r="BJ5" s="32"/>
      <c r="BK5" s="32"/>
      <c r="BL5" s="32"/>
      <c r="BM5" s="32"/>
      <c r="BN5" s="32"/>
      <c r="BO5" s="32"/>
      <c r="BP5" s="32"/>
      <c r="BQ5" s="32"/>
      <c r="BR5" s="32"/>
      <c r="BS5" s="32"/>
      <c r="BT5" s="32"/>
      <c r="BU5" s="32"/>
    </row>
    <row r="6" spans="1:73" ht="15.6" hidden="1">
      <c r="K6" s="17"/>
      <c r="L6" s="83">
        <v>1</v>
      </c>
      <c r="M6" s="84">
        <f>(1+M7)</f>
        <v>1.0249999999999999</v>
      </c>
      <c r="N6" s="84">
        <f>+(1+N7)*M6</f>
        <v>1.0506249999999999</v>
      </c>
      <c r="O6" s="84">
        <f>+(1+O7)*N6</f>
        <v>1.0768906249999999</v>
      </c>
      <c r="P6" s="84">
        <f t="shared" ref="P6:BS6" si="0">+(1+P7)*O6</f>
        <v>1.1038128906249998</v>
      </c>
      <c r="Q6" s="84">
        <f t="shared" si="0"/>
        <v>1.1314082128906247</v>
      </c>
      <c r="R6" s="84">
        <f t="shared" si="0"/>
        <v>1.1596934182128902</v>
      </c>
      <c r="S6" s="84">
        <f t="shared" si="0"/>
        <v>1.1886857536682123</v>
      </c>
      <c r="T6" s="84">
        <f t="shared" si="0"/>
        <v>1.2184028975099175</v>
      </c>
      <c r="U6" s="84">
        <f t="shared" si="0"/>
        <v>1.2488629699476652</v>
      </c>
      <c r="V6" s="84">
        <f t="shared" si="0"/>
        <v>1.2800845441963566</v>
      </c>
      <c r="W6" s="84">
        <f t="shared" si="0"/>
        <v>1.3120866578012655</v>
      </c>
      <c r="X6" s="84">
        <f t="shared" si="0"/>
        <v>1.3448888242462971</v>
      </c>
      <c r="Y6" s="84">
        <f t="shared" si="0"/>
        <v>1.3785110448524545</v>
      </c>
      <c r="Z6" s="84">
        <f t="shared" si="0"/>
        <v>1.4129738209737657</v>
      </c>
      <c r="AA6" s="84">
        <f t="shared" si="0"/>
        <v>1.4482981664981096</v>
      </c>
      <c r="AB6" s="84">
        <f t="shared" si="0"/>
        <v>1.4845056206605622</v>
      </c>
      <c r="AC6" s="84">
        <f t="shared" si="0"/>
        <v>1.5216182611770761</v>
      </c>
      <c r="AD6" s="84">
        <f t="shared" si="0"/>
        <v>1.5596587177065029</v>
      </c>
      <c r="AE6" s="84">
        <f t="shared" si="0"/>
        <v>1.5986501856491653</v>
      </c>
      <c r="AF6" s="84">
        <f t="shared" si="0"/>
        <v>1.6386164402903942</v>
      </c>
      <c r="AG6" s="84">
        <f t="shared" si="0"/>
        <v>1.6795818512976539</v>
      </c>
      <c r="AH6" s="84">
        <f t="shared" si="0"/>
        <v>1.721571397580095</v>
      </c>
      <c r="AI6" s="84">
        <f t="shared" si="0"/>
        <v>1.7646106825195973</v>
      </c>
      <c r="AJ6" s="84">
        <f t="shared" si="0"/>
        <v>1.8087259495825871</v>
      </c>
      <c r="AK6" s="84">
        <f t="shared" si="0"/>
        <v>1.8539440983221516</v>
      </c>
      <c r="AL6" s="84">
        <f t="shared" si="0"/>
        <v>1.9002927007802053</v>
      </c>
      <c r="AM6" s="84">
        <f t="shared" si="0"/>
        <v>1.9478000182997102</v>
      </c>
      <c r="AN6" s="84">
        <f t="shared" si="0"/>
        <v>1.9964950187572028</v>
      </c>
      <c r="AO6" s="84">
        <f t="shared" si="0"/>
        <v>2.0464073942261325</v>
      </c>
      <c r="AP6" s="84">
        <f t="shared" si="0"/>
        <v>2.0975675790817858</v>
      </c>
      <c r="AQ6" s="84">
        <f t="shared" si="0"/>
        <v>2.1500067685588302</v>
      </c>
      <c r="AR6" s="84">
        <f t="shared" si="0"/>
        <v>2.2037569377728006</v>
      </c>
      <c r="AS6" s="84">
        <f t="shared" si="0"/>
        <v>2.2588508612171205</v>
      </c>
      <c r="AT6" s="84">
        <f t="shared" si="0"/>
        <v>2.3153221327475482</v>
      </c>
      <c r="AU6" s="84">
        <f t="shared" si="0"/>
        <v>2.3732051860662366</v>
      </c>
      <c r="AV6" s="84">
        <f t="shared" si="0"/>
        <v>2.4325353157178924</v>
      </c>
      <c r="AW6" s="84">
        <f t="shared" si="0"/>
        <v>2.4933486986108395</v>
      </c>
      <c r="AX6" s="84">
        <f t="shared" si="0"/>
        <v>2.5556824160761105</v>
      </c>
      <c r="AY6" s="84">
        <f t="shared" si="0"/>
        <v>2.6195744764780131</v>
      </c>
      <c r="AZ6" s="84">
        <f t="shared" si="0"/>
        <v>2.6850638383899632</v>
      </c>
      <c r="BA6" s="84">
        <f t="shared" si="0"/>
        <v>2.7521904343497119</v>
      </c>
      <c r="BB6" s="84">
        <f t="shared" si="0"/>
        <v>2.8209951952084547</v>
      </c>
      <c r="BC6" s="84">
        <f t="shared" si="0"/>
        <v>2.8915200750886658</v>
      </c>
      <c r="BD6" s="84">
        <f t="shared" si="0"/>
        <v>2.9638080769658823</v>
      </c>
      <c r="BE6" s="84">
        <f t="shared" si="0"/>
        <v>3.0379032788900293</v>
      </c>
      <c r="BF6" s="84">
        <f t="shared" si="0"/>
        <v>3.1138508608622799</v>
      </c>
      <c r="BG6" s="84">
        <f t="shared" si="0"/>
        <v>3.1916971323838368</v>
      </c>
      <c r="BH6" s="84">
        <f t="shared" si="0"/>
        <v>3.2714895606934324</v>
      </c>
      <c r="BI6" s="84">
        <f t="shared" si="0"/>
        <v>3.353276799710768</v>
      </c>
      <c r="BJ6" s="84">
        <f t="shared" si="0"/>
        <v>3.437108719703537</v>
      </c>
      <c r="BK6" s="84">
        <f t="shared" si="0"/>
        <v>3.523036437696125</v>
      </c>
      <c r="BL6" s="84">
        <f t="shared" si="0"/>
        <v>3.6111123486385277</v>
      </c>
      <c r="BM6" s="84">
        <f t="shared" si="0"/>
        <v>3.7013901573544907</v>
      </c>
      <c r="BN6" s="84">
        <f t="shared" si="0"/>
        <v>3.7939249112883529</v>
      </c>
      <c r="BO6" s="84">
        <f t="shared" si="0"/>
        <v>3.8887730340705615</v>
      </c>
      <c r="BP6" s="84">
        <f t="shared" si="0"/>
        <v>3.9859923599223253</v>
      </c>
      <c r="BQ6" s="84">
        <f t="shared" si="0"/>
        <v>4.0856421689203835</v>
      </c>
      <c r="BR6" s="84">
        <f t="shared" si="0"/>
        <v>4.1877832231433922</v>
      </c>
      <c r="BS6" s="85">
        <f t="shared" si="0"/>
        <v>4.2924778037219768</v>
      </c>
      <c r="BT6" s="32"/>
      <c r="BU6" s="32"/>
    </row>
    <row r="7" spans="1:73" ht="15" thickBot="1">
      <c r="E7" s="3"/>
      <c r="F7" s="10"/>
      <c r="G7" s="10"/>
      <c r="H7" s="10"/>
      <c r="I7" s="4"/>
      <c r="J7" s="4"/>
      <c r="K7" s="4"/>
      <c r="L7" s="332">
        <f>Assumptions!$B$18</f>
        <v>2.5000000000000001E-2</v>
      </c>
      <c r="M7" s="332">
        <f>Assumptions!$B$18</f>
        <v>2.5000000000000001E-2</v>
      </c>
      <c r="N7" s="332">
        <f>Assumptions!$B$18</f>
        <v>2.5000000000000001E-2</v>
      </c>
      <c r="O7" s="332">
        <f>Assumptions!$B$18</f>
        <v>2.5000000000000001E-2</v>
      </c>
      <c r="P7" s="332">
        <f>Assumptions!$B$18</f>
        <v>2.5000000000000001E-2</v>
      </c>
      <c r="Q7" s="332">
        <f>Assumptions!$B$18</f>
        <v>2.5000000000000001E-2</v>
      </c>
      <c r="R7" s="332">
        <f>Assumptions!$B$18</f>
        <v>2.5000000000000001E-2</v>
      </c>
      <c r="S7" s="332">
        <f>Assumptions!$B$18</f>
        <v>2.5000000000000001E-2</v>
      </c>
      <c r="T7" s="332">
        <f>Assumptions!$B$18</f>
        <v>2.5000000000000001E-2</v>
      </c>
      <c r="U7" s="332">
        <f>Assumptions!$B$18</f>
        <v>2.5000000000000001E-2</v>
      </c>
      <c r="V7" s="332">
        <f>Assumptions!$B$18</f>
        <v>2.5000000000000001E-2</v>
      </c>
      <c r="W7" s="332">
        <f>Assumptions!$B$18</f>
        <v>2.5000000000000001E-2</v>
      </c>
      <c r="X7" s="332">
        <f>Assumptions!$B$18</f>
        <v>2.5000000000000001E-2</v>
      </c>
      <c r="Y7" s="332">
        <f>Assumptions!$B$18</f>
        <v>2.5000000000000001E-2</v>
      </c>
      <c r="Z7" s="332">
        <f>Assumptions!$B$18</f>
        <v>2.5000000000000001E-2</v>
      </c>
      <c r="AA7" s="332">
        <f>Assumptions!$B$18</f>
        <v>2.5000000000000001E-2</v>
      </c>
      <c r="AB7" s="332">
        <f>Assumptions!$B$18</f>
        <v>2.5000000000000001E-2</v>
      </c>
      <c r="AC7" s="332">
        <f>Assumptions!$B$18</f>
        <v>2.5000000000000001E-2</v>
      </c>
      <c r="AD7" s="332">
        <f>Assumptions!$B$18</f>
        <v>2.5000000000000001E-2</v>
      </c>
      <c r="AE7" s="332">
        <f>Assumptions!$B$18</f>
        <v>2.5000000000000001E-2</v>
      </c>
      <c r="AF7" s="332">
        <f>Assumptions!$B$18</f>
        <v>2.5000000000000001E-2</v>
      </c>
      <c r="AG7" s="332">
        <f>Assumptions!$B$18</f>
        <v>2.5000000000000001E-2</v>
      </c>
      <c r="AH7" s="332">
        <f>Assumptions!$B$18</f>
        <v>2.5000000000000001E-2</v>
      </c>
      <c r="AI7" s="332">
        <f>Assumptions!$B$18</f>
        <v>2.5000000000000001E-2</v>
      </c>
      <c r="AJ7" s="332">
        <f>Assumptions!$B$18</f>
        <v>2.5000000000000001E-2</v>
      </c>
      <c r="AK7" s="332">
        <f>Assumptions!$B$18</f>
        <v>2.5000000000000001E-2</v>
      </c>
      <c r="AL7" s="332">
        <f>Assumptions!$B$18</f>
        <v>2.5000000000000001E-2</v>
      </c>
      <c r="AM7" s="332">
        <f>Assumptions!$B$18</f>
        <v>2.5000000000000001E-2</v>
      </c>
      <c r="AN7" s="332">
        <f>Assumptions!$B$18</f>
        <v>2.5000000000000001E-2</v>
      </c>
      <c r="AO7" s="332">
        <f>Assumptions!$B$18</f>
        <v>2.5000000000000001E-2</v>
      </c>
      <c r="AP7" s="332">
        <f>Assumptions!$B$18</f>
        <v>2.5000000000000001E-2</v>
      </c>
      <c r="AQ7" s="332">
        <f>Assumptions!$B$18</f>
        <v>2.5000000000000001E-2</v>
      </c>
      <c r="AR7" s="332">
        <f>Assumptions!$B$18</f>
        <v>2.5000000000000001E-2</v>
      </c>
      <c r="AS7" s="332">
        <f>Assumptions!$B$18</f>
        <v>2.5000000000000001E-2</v>
      </c>
      <c r="AT7" s="332">
        <f>Assumptions!$B$18</f>
        <v>2.5000000000000001E-2</v>
      </c>
      <c r="AU7" s="332">
        <f>Assumptions!$B$18</f>
        <v>2.5000000000000001E-2</v>
      </c>
      <c r="AV7" s="332">
        <f>Assumptions!$B$18</f>
        <v>2.5000000000000001E-2</v>
      </c>
      <c r="AW7" s="332">
        <f>Assumptions!$B$18</f>
        <v>2.5000000000000001E-2</v>
      </c>
      <c r="AX7" s="332">
        <f>Assumptions!$B$18</f>
        <v>2.5000000000000001E-2</v>
      </c>
      <c r="AY7" s="332">
        <f>Assumptions!$B$18</f>
        <v>2.5000000000000001E-2</v>
      </c>
      <c r="AZ7" s="332">
        <f>Assumptions!$B$18</f>
        <v>2.5000000000000001E-2</v>
      </c>
      <c r="BA7" s="332">
        <f>Assumptions!$B$18</f>
        <v>2.5000000000000001E-2</v>
      </c>
      <c r="BB7" s="332">
        <f>Assumptions!$B$18</f>
        <v>2.5000000000000001E-2</v>
      </c>
      <c r="BC7" s="332">
        <f>Assumptions!$B$18</f>
        <v>2.5000000000000001E-2</v>
      </c>
      <c r="BD7" s="332">
        <f>Assumptions!$B$18</f>
        <v>2.5000000000000001E-2</v>
      </c>
      <c r="BE7" s="332">
        <f>Assumptions!$B$18</f>
        <v>2.5000000000000001E-2</v>
      </c>
      <c r="BF7" s="332">
        <f>Assumptions!$B$18</f>
        <v>2.5000000000000001E-2</v>
      </c>
      <c r="BG7" s="332">
        <f>Assumptions!$B$18</f>
        <v>2.5000000000000001E-2</v>
      </c>
      <c r="BH7" s="332">
        <f>Assumptions!$B$18</f>
        <v>2.5000000000000001E-2</v>
      </c>
      <c r="BI7" s="332">
        <f>Assumptions!$B$18</f>
        <v>2.5000000000000001E-2</v>
      </c>
      <c r="BJ7" s="332">
        <f>Assumptions!$B$18</f>
        <v>2.5000000000000001E-2</v>
      </c>
      <c r="BK7" s="332">
        <f>Assumptions!$B$18</f>
        <v>2.5000000000000001E-2</v>
      </c>
      <c r="BL7" s="332">
        <f>Assumptions!$B$18</f>
        <v>2.5000000000000001E-2</v>
      </c>
      <c r="BM7" s="332">
        <f>Assumptions!$B$18</f>
        <v>2.5000000000000001E-2</v>
      </c>
      <c r="BN7" s="332">
        <f>Assumptions!$B$18</f>
        <v>2.5000000000000001E-2</v>
      </c>
      <c r="BO7" s="332">
        <f>Assumptions!$B$18</f>
        <v>2.5000000000000001E-2</v>
      </c>
      <c r="BP7" s="332">
        <f>Assumptions!$B$18</f>
        <v>2.5000000000000001E-2</v>
      </c>
      <c r="BQ7" s="332">
        <f>Assumptions!$B$18</f>
        <v>2.5000000000000001E-2</v>
      </c>
      <c r="BR7" s="332">
        <f>Assumptions!$B$18</f>
        <v>2.5000000000000001E-2</v>
      </c>
      <c r="BS7" s="332">
        <f>Assumptions!$B$18</f>
        <v>2.5000000000000001E-2</v>
      </c>
    </row>
    <row r="8" spans="1:73" ht="12.75" customHeight="1">
      <c r="A8" s="796" t="s">
        <v>0</v>
      </c>
      <c r="B8" s="799" t="s">
        <v>1</v>
      </c>
      <c r="C8" s="799" t="s">
        <v>2</v>
      </c>
      <c r="D8" s="799"/>
      <c r="E8" s="799"/>
      <c r="F8" s="800" t="s">
        <v>26</v>
      </c>
      <c r="G8" s="43"/>
      <c r="H8" s="43"/>
      <c r="I8" s="802" t="s">
        <v>20</v>
      </c>
      <c r="J8" s="802" t="s">
        <v>21</v>
      </c>
      <c r="K8" s="789" t="s">
        <v>27</v>
      </c>
      <c r="L8" s="86" t="s">
        <v>39</v>
      </c>
      <c r="M8" s="87"/>
      <c r="N8" s="87"/>
      <c r="O8" s="87"/>
      <c r="P8" s="87"/>
      <c r="Q8" s="87"/>
      <c r="R8" s="87"/>
      <c r="S8" s="87"/>
      <c r="T8" s="87"/>
      <c r="U8" s="87"/>
      <c r="V8" s="87"/>
      <c r="W8" s="87"/>
      <c r="X8" s="87"/>
      <c r="Y8" s="87"/>
      <c r="Z8" s="87"/>
      <c r="AA8" s="87"/>
      <c r="AB8" s="87"/>
      <c r="AC8" s="87"/>
      <c r="AD8" s="87"/>
      <c r="AE8" s="87"/>
      <c r="AF8" s="87"/>
      <c r="AG8" s="87"/>
      <c r="AH8" s="87"/>
      <c r="AI8" s="87"/>
      <c r="AJ8" s="87"/>
      <c r="AK8" s="87"/>
      <c r="AL8" s="88"/>
      <c r="AM8" s="88"/>
      <c r="AN8" s="88"/>
      <c r="AO8" s="88"/>
      <c r="AP8" s="88"/>
      <c r="AQ8" s="88"/>
      <c r="AR8" s="88"/>
      <c r="AS8" s="88"/>
      <c r="AT8" s="88"/>
      <c r="AU8" s="88"/>
      <c r="AV8" s="88"/>
      <c r="AW8" s="88"/>
      <c r="AX8" s="88"/>
      <c r="AY8" s="88"/>
      <c r="AZ8" s="88"/>
      <c r="BA8" s="88"/>
      <c r="BB8" s="88"/>
      <c r="BC8" s="88"/>
      <c r="BD8" s="88"/>
      <c r="BE8" s="88"/>
      <c r="BF8" s="88"/>
      <c r="BG8" s="88"/>
      <c r="BH8" s="88"/>
      <c r="BI8" s="88"/>
      <c r="BJ8" s="88"/>
      <c r="BK8" s="88"/>
      <c r="BL8" s="88"/>
      <c r="BM8" s="88"/>
      <c r="BN8" s="88"/>
      <c r="BO8" s="88"/>
      <c r="BP8" s="88"/>
      <c r="BQ8" s="88"/>
      <c r="BR8" s="88"/>
      <c r="BS8" s="88"/>
      <c r="BT8" s="35"/>
    </row>
    <row r="9" spans="1:73" ht="52.5" customHeight="1">
      <c r="A9" s="797"/>
      <c r="B9" s="791"/>
      <c r="C9" s="791" t="s">
        <v>4</v>
      </c>
      <c r="D9" s="791" t="s">
        <v>5</v>
      </c>
      <c r="E9" s="791" t="s">
        <v>3</v>
      </c>
      <c r="F9" s="801"/>
      <c r="G9" s="44" t="s">
        <v>111</v>
      </c>
      <c r="H9" s="44" t="s">
        <v>41</v>
      </c>
      <c r="I9" s="803"/>
      <c r="J9" s="803"/>
      <c r="K9" s="790"/>
      <c r="L9" s="36">
        <v>0</v>
      </c>
      <c r="M9" s="36">
        <v>1</v>
      </c>
      <c r="N9" s="36">
        <f t="shared" ref="N9:BS9" si="1">+M9+1</f>
        <v>2</v>
      </c>
      <c r="O9" s="36">
        <f t="shared" si="1"/>
        <v>3</v>
      </c>
      <c r="P9" s="36">
        <f t="shared" si="1"/>
        <v>4</v>
      </c>
      <c r="Q9" s="36">
        <f t="shared" si="1"/>
        <v>5</v>
      </c>
      <c r="R9" s="36">
        <f t="shared" si="1"/>
        <v>6</v>
      </c>
      <c r="S9" s="36">
        <f t="shared" si="1"/>
        <v>7</v>
      </c>
      <c r="T9" s="36">
        <f t="shared" si="1"/>
        <v>8</v>
      </c>
      <c r="U9" s="36">
        <f t="shared" si="1"/>
        <v>9</v>
      </c>
      <c r="V9" s="36">
        <f t="shared" si="1"/>
        <v>10</v>
      </c>
      <c r="W9" s="36">
        <f t="shared" si="1"/>
        <v>11</v>
      </c>
      <c r="X9" s="36">
        <f t="shared" si="1"/>
        <v>12</v>
      </c>
      <c r="Y9" s="36">
        <f t="shared" si="1"/>
        <v>13</v>
      </c>
      <c r="Z9" s="36">
        <f t="shared" si="1"/>
        <v>14</v>
      </c>
      <c r="AA9" s="36">
        <f t="shared" si="1"/>
        <v>15</v>
      </c>
      <c r="AB9" s="36">
        <f t="shared" si="1"/>
        <v>16</v>
      </c>
      <c r="AC9" s="36">
        <f t="shared" si="1"/>
        <v>17</v>
      </c>
      <c r="AD9" s="36">
        <f t="shared" si="1"/>
        <v>18</v>
      </c>
      <c r="AE9" s="36">
        <f t="shared" si="1"/>
        <v>19</v>
      </c>
      <c r="AF9" s="36">
        <f t="shared" si="1"/>
        <v>20</v>
      </c>
      <c r="AG9" s="36">
        <f t="shared" si="1"/>
        <v>21</v>
      </c>
      <c r="AH9" s="36">
        <f t="shared" si="1"/>
        <v>22</v>
      </c>
      <c r="AI9" s="36">
        <f t="shared" si="1"/>
        <v>23</v>
      </c>
      <c r="AJ9" s="36">
        <f t="shared" si="1"/>
        <v>24</v>
      </c>
      <c r="AK9" s="36">
        <f t="shared" si="1"/>
        <v>25</v>
      </c>
      <c r="AL9" s="36">
        <f t="shared" si="1"/>
        <v>26</v>
      </c>
      <c r="AM9" s="36">
        <f t="shared" si="1"/>
        <v>27</v>
      </c>
      <c r="AN9" s="36">
        <f t="shared" si="1"/>
        <v>28</v>
      </c>
      <c r="AO9" s="36">
        <f t="shared" si="1"/>
        <v>29</v>
      </c>
      <c r="AP9" s="36">
        <f t="shared" si="1"/>
        <v>30</v>
      </c>
      <c r="AQ9" s="36">
        <f t="shared" si="1"/>
        <v>31</v>
      </c>
      <c r="AR9" s="36">
        <f t="shared" si="1"/>
        <v>32</v>
      </c>
      <c r="AS9" s="36">
        <f t="shared" si="1"/>
        <v>33</v>
      </c>
      <c r="AT9" s="36">
        <f t="shared" si="1"/>
        <v>34</v>
      </c>
      <c r="AU9" s="36">
        <f t="shared" si="1"/>
        <v>35</v>
      </c>
      <c r="AV9" s="36">
        <f t="shared" si="1"/>
        <v>36</v>
      </c>
      <c r="AW9" s="36">
        <f t="shared" si="1"/>
        <v>37</v>
      </c>
      <c r="AX9" s="36">
        <f t="shared" si="1"/>
        <v>38</v>
      </c>
      <c r="AY9" s="36">
        <f t="shared" si="1"/>
        <v>39</v>
      </c>
      <c r="AZ9" s="36">
        <f t="shared" si="1"/>
        <v>40</v>
      </c>
      <c r="BA9" s="36">
        <f t="shared" si="1"/>
        <v>41</v>
      </c>
      <c r="BB9" s="36">
        <f t="shared" si="1"/>
        <v>42</v>
      </c>
      <c r="BC9" s="36">
        <f t="shared" si="1"/>
        <v>43</v>
      </c>
      <c r="BD9" s="36">
        <f t="shared" si="1"/>
        <v>44</v>
      </c>
      <c r="BE9" s="36">
        <f t="shared" si="1"/>
        <v>45</v>
      </c>
      <c r="BF9" s="36">
        <f t="shared" si="1"/>
        <v>46</v>
      </c>
      <c r="BG9" s="36">
        <f t="shared" si="1"/>
        <v>47</v>
      </c>
      <c r="BH9" s="36">
        <f t="shared" si="1"/>
        <v>48</v>
      </c>
      <c r="BI9" s="36">
        <f t="shared" si="1"/>
        <v>49</v>
      </c>
      <c r="BJ9" s="36">
        <f t="shared" si="1"/>
        <v>50</v>
      </c>
      <c r="BK9" s="36">
        <f t="shared" si="1"/>
        <v>51</v>
      </c>
      <c r="BL9" s="36">
        <f t="shared" si="1"/>
        <v>52</v>
      </c>
      <c r="BM9" s="36">
        <f t="shared" si="1"/>
        <v>53</v>
      </c>
      <c r="BN9" s="36">
        <f t="shared" si="1"/>
        <v>54</v>
      </c>
      <c r="BO9" s="36">
        <f t="shared" si="1"/>
        <v>55</v>
      </c>
      <c r="BP9" s="36">
        <f t="shared" si="1"/>
        <v>56</v>
      </c>
      <c r="BQ9" s="36">
        <f t="shared" si="1"/>
        <v>57</v>
      </c>
      <c r="BR9" s="36">
        <f t="shared" si="1"/>
        <v>58</v>
      </c>
      <c r="BS9" s="36">
        <f t="shared" si="1"/>
        <v>59</v>
      </c>
      <c r="BT9" s="37"/>
    </row>
    <row r="10" spans="1:73" ht="14.55" customHeight="1" thickBot="1">
      <c r="A10" s="798"/>
      <c r="B10" s="792"/>
      <c r="C10" s="792"/>
      <c r="D10" s="792"/>
      <c r="E10" s="792"/>
      <c r="F10" s="28" t="str">
        <f>CONCATENATE("(",$B$5,")")</f>
        <v>(2026 $s)</v>
      </c>
      <c r="G10" s="28" t="str">
        <f>CONCATENATE("(",$B$5,")")</f>
        <v>(2026 $s)</v>
      </c>
      <c r="H10" s="28" t="str">
        <f>CONCATENATE("(",$B$5,")")</f>
        <v>(2026 $s)</v>
      </c>
      <c r="I10" s="804"/>
      <c r="J10" s="804"/>
      <c r="K10" s="33" t="str">
        <f>CONCATENATE("(",B5,")")</f>
        <v>(2026 $s)</v>
      </c>
      <c r="L10" s="5">
        <f>Assumptions!B3</f>
        <v>2026</v>
      </c>
      <c r="M10" s="5">
        <f t="shared" ref="M10:BS10" si="2">L10+1</f>
        <v>2027</v>
      </c>
      <c r="N10" s="5">
        <f t="shared" si="2"/>
        <v>2028</v>
      </c>
      <c r="O10" s="5">
        <f t="shared" si="2"/>
        <v>2029</v>
      </c>
      <c r="P10" s="5">
        <f t="shared" si="2"/>
        <v>2030</v>
      </c>
      <c r="Q10" s="5">
        <f t="shared" si="2"/>
        <v>2031</v>
      </c>
      <c r="R10" s="5">
        <f t="shared" si="2"/>
        <v>2032</v>
      </c>
      <c r="S10" s="5">
        <f t="shared" si="2"/>
        <v>2033</v>
      </c>
      <c r="T10" s="5">
        <f t="shared" si="2"/>
        <v>2034</v>
      </c>
      <c r="U10" s="5">
        <f t="shared" si="2"/>
        <v>2035</v>
      </c>
      <c r="V10" s="5">
        <f t="shared" si="2"/>
        <v>2036</v>
      </c>
      <c r="W10" s="5">
        <f t="shared" si="2"/>
        <v>2037</v>
      </c>
      <c r="X10" s="5">
        <f t="shared" si="2"/>
        <v>2038</v>
      </c>
      <c r="Y10" s="5">
        <f t="shared" si="2"/>
        <v>2039</v>
      </c>
      <c r="Z10" s="5">
        <f t="shared" si="2"/>
        <v>2040</v>
      </c>
      <c r="AA10" s="5">
        <f t="shared" si="2"/>
        <v>2041</v>
      </c>
      <c r="AB10" s="5">
        <f t="shared" si="2"/>
        <v>2042</v>
      </c>
      <c r="AC10" s="5">
        <f t="shared" si="2"/>
        <v>2043</v>
      </c>
      <c r="AD10" s="5">
        <f t="shared" si="2"/>
        <v>2044</v>
      </c>
      <c r="AE10" s="5">
        <f t="shared" si="2"/>
        <v>2045</v>
      </c>
      <c r="AF10" s="5">
        <f t="shared" si="2"/>
        <v>2046</v>
      </c>
      <c r="AG10" s="5">
        <f t="shared" si="2"/>
        <v>2047</v>
      </c>
      <c r="AH10" s="5">
        <f t="shared" si="2"/>
        <v>2048</v>
      </c>
      <c r="AI10" s="5">
        <f t="shared" si="2"/>
        <v>2049</v>
      </c>
      <c r="AJ10" s="5">
        <f t="shared" si="2"/>
        <v>2050</v>
      </c>
      <c r="AK10" s="5">
        <f t="shared" si="2"/>
        <v>2051</v>
      </c>
      <c r="AL10" s="5">
        <f t="shared" si="2"/>
        <v>2052</v>
      </c>
      <c r="AM10" s="5">
        <f t="shared" si="2"/>
        <v>2053</v>
      </c>
      <c r="AN10" s="5">
        <f t="shared" si="2"/>
        <v>2054</v>
      </c>
      <c r="AO10" s="5">
        <f t="shared" si="2"/>
        <v>2055</v>
      </c>
      <c r="AP10" s="5">
        <f t="shared" si="2"/>
        <v>2056</v>
      </c>
      <c r="AQ10" s="5">
        <f t="shared" si="2"/>
        <v>2057</v>
      </c>
      <c r="AR10" s="5">
        <f t="shared" si="2"/>
        <v>2058</v>
      </c>
      <c r="AS10" s="5">
        <f t="shared" si="2"/>
        <v>2059</v>
      </c>
      <c r="AT10" s="5">
        <f t="shared" si="2"/>
        <v>2060</v>
      </c>
      <c r="AU10" s="5">
        <f t="shared" si="2"/>
        <v>2061</v>
      </c>
      <c r="AV10" s="5">
        <f t="shared" si="2"/>
        <v>2062</v>
      </c>
      <c r="AW10" s="5">
        <f t="shared" si="2"/>
        <v>2063</v>
      </c>
      <c r="AX10" s="5">
        <f t="shared" si="2"/>
        <v>2064</v>
      </c>
      <c r="AY10" s="5">
        <f t="shared" si="2"/>
        <v>2065</v>
      </c>
      <c r="AZ10" s="5">
        <f t="shared" si="2"/>
        <v>2066</v>
      </c>
      <c r="BA10" s="5">
        <f t="shared" si="2"/>
        <v>2067</v>
      </c>
      <c r="BB10" s="5">
        <f t="shared" si="2"/>
        <v>2068</v>
      </c>
      <c r="BC10" s="5">
        <f t="shared" si="2"/>
        <v>2069</v>
      </c>
      <c r="BD10" s="5">
        <f t="shared" si="2"/>
        <v>2070</v>
      </c>
      <c r="BE10" s="5">
        <f t="shared" si="2"/>
        <v>2071</v>
      </c>
      <c r="BF10" s="5">
        <f t="shared" si="2"/>
        <v>2072</v>
      </c>
      <c r="BG10" s="5">
        <f t="shared" si="2"/>
        <v>2073</v>
      </c>
      <c r="BH10" s="5">
        <f t="shared" si="2"/>
        <v>2074</v>
      </c>
      <c r="BI10" s="5">
        <f t="shared" si="2"/>
        <v>2075</v>
      </c>
      <c r="BJ10" s="5">
        <f t="shared" si="2"/>
        <v>2076</v>
      </c>
      <c r="BK10" s="5">
        <f t="shared" si="2"/>
        <v>2077</v>
      </c>
      <c r="BL10" s="5">
        <f t="shared" si="2"/>
        <v>2078</v>
      </c>
      <c r="BM10" s="5">
        <f t="shared" si="2"/>
        <v>2079</v>
      </c>
      <c r="BN10" s="5">
        <f t="shared" si="2"/>
        <v>2080</v>
      </c>
      <c r="BO10" s="5">
        <f t="shared" si="2"/>
        <v>2081</v>
      </c>
      <c r="BP10" s="5">
        <f t="shared" si="2"/>
        <v>2082</v>
      </c>
      <c r="BQ10" s="5">
        <f t="shared" si="2"/>
        <v>2083</v>
      </c>
      <c r="BR10" s="5">
        <f t="shared" si="2"/>
        <v>2084</v>
      </c>
      <c r="BS10" s="5">
        <f t="shared" si="2"/>
        <v>2085</v>
      </c>
      <c r="BT10" s="38" t="s">
        <v>6</v>
      </c>
    </row>
    <row r="11" spans="1:73" ht="13.5" customHeight="1">
      <c r="A11" s="8" t="s">
        <v>13</v>
      </c>
      <c r="B11" s="9" t="s">
        <v>12</v>
      </c>
      <c r="C11" s="9" t="s">
        <v>112</v>
      </c>
      <c r="D11" s="9" t="s">
        <v>113</v>
      </c>
      <c r="E11" s="9" t="s">
        <v>15</v>
      </c>
      <c r="F11" s="11" t="s">
        <v>14</v>
      </c>
      <c r="G11" s="11" t="s">
        <v>16</v>
      </c>
      <c r="H11" s="11" t="s">
        <v>17</v>
      </c>
      <c r="I11" s="11" t="s">
        <v>18</v>
      </c>
      <c r="J11" s="11" t="s">
        <v>19</v>
      </c>
      <c r="K11" s="34" t="s">
        <v>114</v>
      </c>
      <c r="L11" s="49"/>
      <c r="M11" s="49"/>
      <c r="N11" s="40" t="str">
        <f t="shared" ref="N11" si="3">IF(AND(N$10=$C11,N$10=$D11),(($K11/$E11)*N$6),IF(AND(N$10&gt;=$C11,N$10&lt;=$D11),(($K11/$E11)*N$6),""))</f>
        <v/>
      </c>
      <c r="O11" s="49"/>
      <c r="P11" s="49"/>
      <c r="Q11" s="49"/>
      <c r="R11" s="49"/>
      <c r="S11" s="49"/>
      <c r="T11" s="49"/>
      <c r="U11" s="49"/>
      <c r="V11" s="49"/>
      <c r="W11" s="49"/>
      <c r="X11" s="49"/>
      <c r="Y11" s="49"/>
      <c r="Z11" s="49"/>
      <c r="AA11" s="49"/>
      <c r="AB11" s="49"/>
      <c r="AC11" s="49"/>
      <c r="AD11" s="49"/>
      <c r="AE11" s="50"/>
      <c r="AF11" s="51"/>
      <c r="AG11" s="51"/>
      <c r="AH11" s="51"/>
      <c r="AI11" s="51"/>
      <c r="AJ11" s="51"/>
      <c r="AK11" s="51"/>
      <c r="AL11" s="51"/>
      <c r="AM11" s="51"/>
      <c r="AN11" s="51"/>
      <c r="AO11" s="51"/>
      <c r="AP11" s="51"/>
      <c r="AQ11" s="51"/>
      <c r="AR11" s="51"/>
      <c r="AS11" s="51"/>
      <c r="AT11" s="51"/>
      <c r="AU11" s="51"/>
      <c r="AV11" s="51"/>
      <c r="AW11" s="51"/>
      <c r="AX11" s="51"/>
      <c r="AY11" s="51"/>
      <c r="AZ11" s="51"/>
      <c r="BA11" s="51"/>
      <c r="BB11" s="51"/>
      <c r="BC11" s="51"/>
      <c r="BD11" s="51"/>
      <c r="BE11" s="51"/>
      <c r="BF11" s="51"/>
      <c r="BG11" s="51"/>
      <c r="BH11" s="51"/>
      <c r="BI11" s="51"/>
      <c r="BJ11" s="51"/>
      <c r="BK11" s="51"/>
      <c r="BL11" s="51"/>
      <c r="BM11" s="51"/>
      <c r="BN11" s="51"/>
      <c r="BO11" s="51"/>
      <c r="BP11" s="51"/>
      <c r="BQ11" s="51"/>
      <c r="BR11" s="51"/>
      <c r="BS11" s="51"/>
      <c r="BT11" s="39"/>
    </row>
    <row r="12" spans="1:73" ht="13.5" customHeight="1">
      <c r="A12" s="702">
        <v>39</v>
      </c>
      <c r="B12" s="186" t="str">
        <f>INDEX('S-Treatment'!$C$6:$C$9,MATCH(Table195781011121314236172728151617187202324[[#This Row],[a]],'S-Treatment'!$B$6:$B$9,0))</f>
        <v>Headworks</v>
      </c>
      <c r="C12" s="98">
        <f>INDEX('S-Treatment'!$F$6:$F$9,MATCH(Table195781011121314236172728151617187202324[[#This Row],[a]],'S-Treatment'!$B$6:$B$9,0))</f>
        <v>2026</v>
      </c>
      <c r="D12" s="98">
        <f>INDEX('S-Treatment'!$G$6:$G$9,MATCH(Table195781011121314236172728151617187202324[[#This Row],[a]],'S-Treatment'!$B$6:$B$9,0))</f>
        <v>2026</v>
      </c>
      <c r="E12" s="99">
        <f>(D12-C12)+1</f>
        <v>1</v>
      </c>
      <c r="F12" s="107">
        <f>INDEX('S-Treatment'!$K$6:$K$9,MATCH(Table195781011121314236172728151617187202324[[#This Row],[a]],'S-Treatment'!$B$6:$B$9,0))</f>
        <v>455520</v>
      </c>
      <c r="G12" s="100"/>
      <c r="H12" s="101">
        <f>+Table195781011121314236172728151617187202324[[#This Row],[f]]-Table195781011121314236172728151617187202324[[#This Row],[g]]</f>
        <v>455520</v>
      </c>
      <c r="I12" s="108">
        <f>INDEX('S-Treatment'!$H$6:$H$9,MATCH(Table195781011121314236172728151617187202324[[#This Row],[a]],'S-Treatment'!$B$6:$B$9,0))</f>
        <v>0.5</v>
      </c>
      <c r="J12" s="102">
        <f>1-Table195781011121314236172728151617187202324[[#This Row],[i]]</f>
        <v>0.5</v>
      </c>
      <c r="K12" s="103">
        <f>(Table195781011121314236172728151617187202324[[#This Row],[h]]*Table195781011121314236172728151617187202324[[#This Row],[i]])</f>
        <v>227760</v>
      </c>
      <c r="L12" s="40">
        <f t="shared" ref="L12:AA15" si="4">IF(AND(L$10=$C12,L$10=$D12),(($K12/$E12)*L$6),IF(AND(L$10&gt;=$C12,L$10&lt;=$D12),(($K12/$E12)*L$6),""))</f>
        <v>227760</v>
      </c>
      <c r="M12" s="40" t="str">
        <f t="shared" si="4"/>
        <v/>
      </c>
      <c r="N12" s="40" t="str">
        <f>IF(AND(N$10=$C12,N$10=$D12),(($K12/$E12)*N$6),IF(AND(N$10&gt;=$C12,N$10&lt;=$D12),(($K12/$E12)*N$6),""))</f>
        <v/>
      </c>
      <c r="O12" s="40" t="str">
        <f t="shared" si="4"/>
        <v/>
      </c>
      <c r="P12" s="40" t="str">
        <f t="shared" si="4"/>
        <v/>
      </c>
      <c r="Q12" s="40" t="str">
        <f t="shared" si="4"/>
        <v/>
      </c>
      <c r="R12" s="40" t="str">
        <f t="shared" si="4"/>
        <v/>
      </c>
      <c r="S12" s="40" t="str">
        <f t="shared" si="4"/>
        <v/>
      </c>
      <c r="T12" s="40" t="str">
        <f t="shared" si="4"/>
        <v/>
      </c>
      <c r="U12" s="40" t="str">
        <f t="shared" si="4"/>
        <v/>
      </c>
      <c r="V12" s="40" t="str">
        <f t="shared" si="4"/>
        <v/>
      </c>
      <c r="W12" s="40" t="str">
        <f t="shared" si="4"/>
        <v/>
      </c>
      <c r="X12" s="40" t="str">
        <f t="shared" si="4"/>
        <v/>
      </c>
      <c r="Y12" s="40" t="str">
        <f t="shared" si="4"/>
        <v/>
      </c>
      <c r="Z12" s="40" t="str">
        <f t="shared" si="4"/>
        <v/>
      </c>
      <c r="AA12" s="40" t="str">
        <f t="shared" si="4"/>
        <v/>
      </c>
      <c r="AB12" s="40" t="str">
        <f t="shared" ref="AB12:AQ15" si="5">IF(AND(AB$10=$C12,AB$10=$D12),(($K12/$E12)*AB$6),IF(AND(AB$10&gt;=$C12,AB$10&lt;=$D12),(($K12/$E12)*AB$6),""))</f>
        <v/>
      </c>
      <c r="AC12" s="40" t="str">
        <f t="shared" si="5"/>
        <v/>
      </c>
      <c r="AD12" s="40" t="str">
        <f t="shared" si="5"/>
        <v/>
      </c>
      <c r="AE12" s="40" t="str">
        <f t="shared" si="5"/>
        <v/>
      </c>
      <c r="AF12" s="40" t="str">
        <f t="shared" si="5"/>
        <v/>
      </c>
      <c r="AG12" s="40" t="str">
        <f t="shared" si="5"/>
        <v/>
      </c>
      <c r="AH12" s="40" t="str">
        <f t="shared" si="5"/>
        <v/>
      </c>
      <c r="AI12" s="40" t="str">
        <f t="shared" si="5"/>
        <v/>
      </c>
      <c r="AJ12" s="40" t="str">
        <f t="shared" si="5"/>
        <v/>
      </c>
      <c r="AK12" s="40" t="str">
        <f t="shared" si="5"/>
        <v/>
      </c>
      <c r="AL12" s="40" t="str">
        <f t="shared" si="5"/>
        <v/>
      </c>
      <c r="AM12" s="40" t="str">
        <f t="shared" si="5"/>
        <v/>
      </c>
      <c r="AN12" s="40" t="str">
        <f t="shared" si="5"/>
        <v/>
      </c>
      <c r="AO12" s="40" t="str">
        <f t="shared" si="5"/>
        <v/>
      </c>
      <c r="AP12" s="40" t="str">
        <f t="shared" si="5"/>
        <v/>
      </c>
      <c r="AQ12" s="40" t="str">
        <f t="shared" si="5"/>
        <v/>
      </c>
      <c r="AR12" s="40" t="str">
        <f t="shared" ref="AR12:BG15" si="6">IF(AND(AR$10=$C12,AR$10=$D12),(($K12/$E12)*AR$6),IF(AND(AR$10&gt;=$C12,AR$10&lt;=$D12),(($K12/$E12)*AR$6),""))</f>
        <v/>
      </c>
      <c r="AS12" s="40" t="str">
        <f t="shared" si="6"/>
        <v/>
      </c>
      <c r="AT12" s="40" t="str">
        <f t="shared" si="6"/>
        <v/>
      </c>
      <c r="AU12" s="40" t="str">
        <f t="shared" si="6"/>
        <v/>
      </c>
      <c r="AV12" s="40" t="str">
        <f t="shared" si="6"/>
        <v/>
      </c>
      <c r="AW12" s="40" t="str">
        <f t="shared" si="6"/>
        <v/>
      </c>
      <c r="AX12" s="40" t="str">
        <f t="shared" si="6"/>
        <v/>
      </c>
      <c r="AY12" s="40" t="str">
        <f t="shared" si="6"/>
        <v/>
      </c>
      <c r="AZ12" s="40" t="str">
        <f t="shared" si="6"/>
        <v/>
      </c>
      <c r="BA12" s="40" t="str">
        <f t="shared" si="6"/>
        <v/>
      </c>
      <c r="BB12" s="40" t="str">
        <f t="shared" si="6"/>
        <v/>
      </c>
      <c r="BC12" s="40" t="str">
        <f t="shared" si="6"/>
        <v/>
      </c>
      <c r="BD12" s="40" t="str">
        <f t="shared" si="6"/>
        <v/>
      </c>
      <c r="BE12" s="40" t="str">
        <f t="shared" si="6"/>
        <v/>
      </c>
      <c r="BF12" s="40" t="str">
        <f t="shared" si="6"/>
        <v/>
      </c>
      <c r="BG12" s="40" t="str">
        <f t="shared" si="6"/>
        <v/>
      </c>
      <c r="BH12" s="40" t="str">
        <f t="shared" ref="BH12:BS15" si="7">IF(AND(BH$10=$C12,BH$10=$D12),(($K12/$E12)*BH$6),IF(AND(BH$10&gt;=$C12,BH$10&lt;=$D12),(($K12/$E12)*BH$6),""))</f>
        <v/>
      </c>
      <c r="BI12" s="40" t="str">
        <f t="shared" si="7"/>
        <v/>
      </c>
      <c r="BJ12" s="40" t="str">
        <f t="shared" si="7"/>
        <v/>
      </c>
      <c r="BK12" s="40" t="str">
        <f t="shared" si="7"/>
        <v/>
      </c>
      <c r="BL12" s="40" t="str">
        <f t="shared" si="7"/>
        <v/>
      </c>
      <c r="BM12" s="40" t="str">
        <f t="shared" si="7"/>
        <v/>
      </c>
      <c r="BN12" s="40" t="str">
        <f t="shared" si="7"/>
        <v/>
      </c>
      <c r="BO12" s="40" t="str">
        <f t="shared" si="7"/>
        <v/>
      </c>
      <c r="BP12" s="40" t="str">
        <f t="shared" si="7"/>
        <v/>
      </c>
      <c r="BQ12" s="40" t="str">
        <f t="shared" si="7"/>
        <v/>
      </c>
      <c r="BR12" s="40" t="str">
        <f t="shared" si="7"/>
        <v/>
      </c>
      <c r="BS12" s="40" t="str">
        <f t="shared" si="7"/>
        <v/>
      </c>
      <c r="BT12" s="122">
        <f>SUM(L12:BS12)</f>
        <v>227760</v>
      </c>
    </row>
    <row r="13" spans="1:73" ht="13.5" customHeight="1">
      <c r="A13" s="702">
        <v>92</v>
      </c>
      <c r="B13" s="146" t="str">
        <f>INDEX('S-Treatment'!$C$6:$C$9,MATCH(Table195781011121314236172728151617187202324[[#This Row],[a]],'S-Treatment'!$B$6:$B$9,0))</f>
        <v>WWTP Ultraviolet Disinfection</v>
      </c>
      <c r="C13" s="131">
        <f>INDEX('S-Treatment'!$F$6:$F$9,MATCH(Table195781011121314236172728151617187202324[[#This Row],[a]],'S-Treatment'!$B$6:$B$9,0))</f>
        <v>2027</v>
      </c>
      <c r="D13" s="132">
        <f>INDEX('S-Treatment'!$G$6:$G$9,MATCH(Table195781011121314236172728151617187202324[[#This Row],[a]],'S-Treatment'!$B$6:$B$9,0))</f>
        <v>2029</v>
      </c>
      <c r="E13" s="133">
        <f>(D13-C13)+1</f>
        <v>3</v>
      </c>
      <c r="F13" s="134">
        <f>INDEX('S-Treatment'!$K$6:$K$9,MATCH(Table195781011121314236172728151617187202324[[#This Row],[a]],'S-Treatment'!$B$6:$B$9,0))</f>
        <v>3601122.2499999986</v>
      </c>
      <c r="G13" s="135"/>
      <c r="H13" s="136">
        <f>+Table195781011121314236172728151617187202324[[#This Row],[f]]-Table195781011121314236172728151617187202324[[#This Row],[g]]</f>
        <v>3601122.2499999986</v>
      </c>
      <c r="I13" s="137">
        <f>INDEX('S-Treatment'!$H$6:$H$9,MATCH(Table195781011121314236172728151617187202324[[#This Row],[a]],'S-Treatment'!$B$6:$B$9,0))</f>
        <v>1</v>
      </c>
      <c r="J13" s="138">
        <f>1-Table195781011121314236172728151617187202324[[#This Row],[i]]</f>
        <v>0</v>
      </c>
      <c r="K13" s="139">
        <f>(Table195781011121314236172728151617187202324[[#This Row],[h]]*Table195781011121314236172728151617187202324[[#This Row],[i]])</f>
        <v>3601122.2499999986</v>
      </c>
      <c r="L13" s="40" t="str">
        <f t="shared" si="4"/>
        <v/>
      </c>
      <c r="M13" s="40">
        <f t="shared" si="4"/>
        <v>1230383.4354166661</v>
      </c>
      <c r="N13" s="40">
        <f t="shared" si="4"/>
        <v>1261143.0213020826</v>
      </c>
      <c r="O13" s="40">
        <f t="shared" si="4"/>
        <v>1292671.5968346347</v>
      </c>
      <c r="P13" s="40" t="str">
        <f t="shared" si="4"/>
        <v/>
      </c>
      <c r="Q13" s="40" t="str">
        <f t="shared" si="4"/>
        <v/>
      </c>
      <c r="R13" s="40" t="str">
        <f t="shared" si="4"/>
        <v/>
      </c>
      <c r="S13" s="40" t="str">
        <f t="shared" si="4"/>
        <v/>
      </c>
      <c r="T13" s="40" t="str">
        <f t="shared" si="4"/>
        <v/>
      </c>
      <c r="U13" s="40" t="str">
        <f t="shared" si="4"/>
        <v/>
      </c>
      <c r="V13" s="40" t="str">
        <f t="shared" si="4"/>
        <v/>
      </c>
      <c r="W13" s="40" t="str">
        <f t="shared" si="4"/>
        <v/>
      </c>
      <c r="X13" s="40" t="str">
        <f t="shared" si="4"/>
        <v/>
      </c>
      <c r="Y13" s="40" t="str">
        <f t="shared" si="4"/>
        <v/>
      </c>
      <c r="Z13" s="40" t="str">
        <f t="shared" si="4"/>
        <v/>
      </c>
      <c r="AA13" s="40" t="str">
        <f t="shared" si="4"/>
        <v/>
      </c>
      <c r="AB13" s="40" t="str">
        <f t="shared" si="5"/>
        <v/>
      </c>
      <c r="AC13" s="40" t="str">
        <f t="shared" si="5"/>
        <v/>
      </c>
      <c r="AD13" s="40" t="str">
        <f t="shared" si="5"/>
        <v/>
      </c>
      <c r="AE13" s="40" t="str">
        <f t="shared" si="5"/>
        <v/>
      </c>
      <c r="AF13" s="40" t="str">
        <f t="shared" si="5"/>
        <v/>
      </c>
      <c r="AG13" s="40" t="str">
        <f t="shared" si="5"/>
        <v/>
      </c>
      <c r="AH13" s="40" t="str">
        <f t="shared" si="5"/>
        <v/>
      </c>
      <c r="AI13" s="40" t="str">
        <f t="shared" si="5"/>
        <v/>
      </c>
      <c r="AJ13" s="40" t="str">
        <f t="shared" si="5"/>
        <v/>
      </c>
      <c r="AK13" s="40" t="str">
        <f t="shared" si="5"/>
        <v/>
      </c>
      <c r="AL13" s="40" t="str">
        <f t="shared" si="5"/>
        <v/>
      </c>
      <c r="AM13" s="40" t="str">
        <f t="shared" si="5"/>
        <v/>
      </c>
      <c r="AN13" s="40" t="str">
        <f t="shared" si="5"/>
        <v/>
      </c>
      <c r="AO13" s="40" t="str">
        <f t="shared" si="5"/>
        <v/>
      </c>
      <c r="AP13" s="40" t="str">
        <f t="shared" si="5"/>
        <v/>
      </c>
      <c r="AQ13" s="40" t="str">
        <f t="shared" si="5"/>
        <v/>
      </c>
      <c r="AR13" s="40" t="str">
        <f t="shared" si="6"/>
        <v/>
      </c>
      <c r="AS13" s="40" t="str">
        <f t="shared" si="6"/>
        <v/>
      </c>
      <c r="AT13" s="40" t="str">
        <f t="shared" si="6"/>
        <v/>
      </c>
      <c r="AU13" s="40" t="str">
        <f t="shared" si="6"/>
        <v/>
      </c>
      <c r="AV13" s="40" t="str">
        <f t="shared" si="6"/>
        <v/>
      </c>
      <c r="AW13" s="40" t="str">
        <f t="shared" si="6"/>
        <v/>
      </c>
      <c r="AX13" s="40" t="str">
        <f t="shared" si="6"/>
        <v/>
      </c>
      <c r="AY13" s="40" t="str">
        <f t="shared" si="6"/>
        <v/>
      </c>
      <c r="AZ13" s="40" t="str">
        <f t="shared" si="6"/>
        <v/>
      </c>
      <c r="BA13" s="40" t="str">
        <f t="shared" si="6"/>
        <v/>
      </c>
      <c r="BB13" s="40" t="str">
        <f t="shared" si="6"/>
        <v/>
      </c>
      <c r="BC13" s="40" t="str">
        <f t="shared" si="6"/>
        <v/>
      </c>
      <c r="BD13" s="40" t="str">
        <f t="shared" si="6"/>
        <v/>
      </c>
      <c r="BE13" s="40" t="str">
        <f t="shared" si="6"/>
        <v/>
      </c>
      <c r="BF13" s="40" t="str">
        <f t="shared" si="6"/>
        <v/>
      </c>
      <c r="BG13" s="40" t="str">
        <f t="shared" si="6"/>
        <v/>
      </c>
      <c r="BH13" s="40" t="str">
        <f t="shared" si="7"/>
        <v/>
      </c>
      <c r="BI13" s="40" t="str">
        <f t="shared" si="7"/>
        <v/>
      </c>
      <c r="BJ13" s="40" t="str">
        <f t="shared" si="7"/>
        <v/>
      </c>
      <c r="BK13" s="40" t="str">
        <f t="shared" si="7"/>
        <v/>
      </c>
      <c r="BL13" s="40" t="str">
        <f t="shared" si="7"/>
        <v/>
      </c>
      <c r="BM13" s="40" t="str">
        <f t="shared" si="7"/>
        <v/>
      </c>
      <c r="BN13" s="40" t="str">
        <f t="shared" si="7"/>
        <v/>
      </c>
      <c r="BO13" s="40" t="str">
        <f t="shared" si="7"/>
        <v/>
      </c>
      <c r="BP13" s="40" t="str">
        <f t="shared" si="7"/>
        <v/>
      </c>
      <c r="BQ13" s="40" t="str">
        <f t="shared" si="7"/>
        <v/>
      </c>
      <c r="BR13" s="40" t="str">
        <f t="shared" si="7"/>
        <v/>
      </c>
      <c r="BS13" s="40" t="str">
        <f t="shared" si="7"/>
        <v/>
      </c>
      <c r="BT13" s="122">
        <f t="shared" ref="BT13:BT15" si="8">SUM(L13:BS13)</f>
        <v>3784198.0535533829</v>
      </c>
    </row>
    <row r="14" spans="1:73" ht="13.5" customHeight="1">
      <c r="A14" s="702">
        <v>40</v>
      </c>
      <c r="B14" s="146" t="str">
        <f>INDEX('S-Treatment'!$C$6:$C$9,MATCH(Table195781011121314236172728151617187202324[[#This Row],[a]],'S-Treatment'!$B$6:$B$9,0))</f>
        <v>WWTP Activated Primary Clarifier</v>
      </c>
      <c r="C14" s="131">
        <f>INDEX('S-Treatment'!$F$6:$F$9,MATCH(Table195781011121314236172728151617187202324[[#This Row],[a]],'S-Treatment'!$B$6:$B$9,0))</f>
        <v>2030</v>
      </c>
      <c r="D14" s="132">
        <f>INDEX('S-Treatment'!$G$6:$G$9,MATCH(Table195781011121314236172728151617187202324[[#This Row],[a]],'S-Treatment'!$B$6:$B$9,0))</f>
        <v>2032</v>
      </c>
      <c r="E14" s="133">
        <f>(D14-C14)+1</f>
        <v>3</v>
      </c>
      <c r="F14" s="134">
        <f>INDEX('S-Treatment'!$K$6:$K$9,MATCH(Table195781011121314236172728151617187202324[[#This Row],[a]],'S-Treatment'!$B$6:$B$9,0))</f>
        <v>5992896.3281249972</v>
      </c>
      <c r="G14" s="135"/>
      <c r="H14" s="136">
        <f>+Table195781011121314236172728151617187202324[[#This Row],[f]]-Table195781011121314236172728151617187202324[[#This Row],[g]]</f>
        <v>5992896.3281249972</v>
      </c>
      <c r="I14" s="137">
        <f>INDEX('S-Treatment'!$H$6:$H$9,MATCH(Table195781011121314236172728151617187202324[[#This Row],[a]],'S-Treatment'!$B$6:$B$9,0))</f>
        <v>0.7</v>
      </c>
      <c r="J14" s="138">
        <f>1-Table195781011121314236172728151617187202324[[#This Row],[i]]</f>
        <v>0.30000000000000004</v>
      </c>
      <c r="K14" s="139">
        <f>(Table195781011121314236172728151617187202324[[#This Row],[h]]*Table195781011121314236172728151617187202324[[#This Row],[i]])</f>
        <v>4195027.4296874981</v>
      </c>
      <c r="L14" s="40" t="str">
        <f t="shared" si="4"/>
        <v/>
      </c>
      <c r="M14" s="40" t="str">
        <f t="shared" si="4"/>
        <v/>
      </c>
      <c r="N14" s="40" t="str">
        <f t="shared" si="4"/>
        <v/>
      </c>
      <c r="O14" s="40" t="str">
        <f t="shared" si="4"/>
        <v/>
      </c>
      <c r="P14" s="40">
        <f t="shared" si="4"/>
        <v>1543508.4511381732</v>
      </c>
      <c r="Q14" s="40">
        <f t="shared" si="4"/>
        <v>1582096.1624166276</v>
      </c>
      <c r="R14" s="40">
        <f t="shared" si="4"/>
        <v>1621648.5664770431</v>
      </c>
      <c r="S14" s="40" t="str">
        <f t="shared" si="4"/>
        <v/>
      </c>
      <c r="T14" s="40" t="str">
        <f t="shared" si="4"/>
        <v/>
      </c>
      <c r="U14" s="40" t="str">
        <f t="shared" si="4"/>
        <v/>
      </c>
      <c r="V14" s="40" t="str">
        <f t="shared" si="4"/>
        <v/>
      </c>
      <c r="W14" s="40" t="str">
        <f t="shared" si="4"/>
        <v/>
      </c>
      <c r="X14" s="40" t="str">
        <f t="shared" si="4"/>
        <v/>
      </c>
      <c r="Y14" s="40" t="str">
        <f t="shared" si="4"/>
        <v/>
      </c>
      <c r="Z14" s="40" t="str">
        <f t="shared" si="4"/>
        <v/>
      </c>
      <c r="AA14" s="40" t="str">
        <f t="shared" si="4"/>
        <v/>
      </c>
      <c r="AB14" s="40" t="str">
        <f t="shared" si="5"/>
        <v/>
      </c>
      <c r="AC14" s="40" t="str">
        <f t="shared" si="5"/>
        <v/>
      </c>
      <c r="AD14" s="40" t="str">
        <f t="shared" si="5"/>
        <v/>
      </c>
      <c r="AE14" s="40" t="str">
        <f t="shared" si="5"/>
        <v/>
      </c>
      <c r="AF14" s="40" t="str">
        <f t="shared" si="5"/>
        <v/>
      </c>
      <c r="AG14" s="40" t="str">
        <f t="shared" si="5"/>
        <v/>
      </c>
      <c r="AH14" s="40" t="str">
        <f t="shared" si="5"/>
        <v/>
      </c>
      <c r="AI14" s="40" t="str">
        <f t="shared" si="5"/>
        <v/>
      </c>
      <c r="AJ14" s="40" t="str">
        <f t="shared" si="5"/>
        <v/>
      </c>
      <c r="AK14" s="40" t="str">
        <f t="shared" si="5"/>
        <v/>
      </c>
      <c r="AL14" s="40" t="str">
        <f t="shared" si="5"/>
        <v/>
      </c>
      <c r="AM14" s="40" t="str">
        <f t="shared" si="5"/>
        <v/>
      </c>
      <c r="AN14" s="40" t="str">
        <f t="shared" si="5"/>
        <v/>
      </c>
      <c r="AO14" s="40" t="str">
        <f t="shared" si="5"/>
        <v/>
      </c>
      <c r="AP14" s="40" t="str">
        <f t="shared" si="5"/>
        <v/>
      </c>
      <c r="AQ14" s="40" t="str">
        <f t="shared" si="5"/>
        <v/>
      </c>
      <c r="AR14" s="40" t="str">
        <f t="shared" si="6"/>
        <v/>
      </c>
      <c r="AS14" s="40" t="str">
        <f t="shared" si="6"/>
        <v/>
      </c>
      <c r="AT14" s="40" t="str">
        <f t="shared" si="6"/>
        <v/>
      </c>
      <c r="AU14" s="40" t="str">
        <f t="shared" si="6"/>
        <v/>
      </c>
      <c r="AV14" s="40" t="str">
        <f t="shared" si="6"/>
        <v/>
      </c>
      <c r="AW14" s="40" t="str">
        <f t="shared" si="6"/>
        <v/>
      </c>
      <c r="AX14" s="40" t="str">
        <f t="shared" si="6"/>
        <v/>
      </c>
      <c r="AY14" s="40" t="str">
        <f t="shared" si="6"/>
        <v/>
      </c>
      <c r="AZ14" s="40" t="str">
        <f t="shared" si="6"/>
        <v/>
      </c>
      <c r="BA14" s="40" t="str">
        <f t="shared" si="6"/>
        <v/>
      </c>
      <c r="BB14" s="40" t="str">
        <f t="shared" si="6"/>
        <v/>
      </c>
      <c r="BC14" s="40" t="str">
        <f t="shared" si="6"/>
        <v/>
      </c>
      <c r="BD14" s="40" t="str">
        <f t="shared" si="6"/>
        <v/>
      </c>
      <c r="BE14" s="40" t="str">
        <f t="shared" si="6"/>
        <v/>
      </c>
      <c r="BF14" s="40" t="str">
        <f t="shared" si="6"/>
        <v/>
      </c>
      <c r="BG14" s="40" t="str">
        <f t="shared" si="6"/>
        <v/>
      </c>
      <c r="BH14" s="40" t="str">
        <f t="shared" si="7"/>
        <v/>
      </c>
      <c r="BI14" s="40" t="str">
        <f t="shared" si="7"/>
        <v/>
      </c>
      <c r="BJ14" s="40" t="str">
        <f t="shared" si="7"/>
        <v/>
      </c>
      <c r="BK14" s="40" t="str">
        <f t="shared" si="7"/>
        <v/>
      </c>
      <c r="BL14" s="40" t="str">
        <f t="shared" si="7"/>
        <v/>
      </c>
      <c r="BM14" s="40" t="str">
        <f t="shared" si="7"/>
        <v/>
      </c>
      <c r="BN14" s="40" t="str">
        <f t="shared" si="7"/>
        <v/>
      </c>
      <c r="BO14" s="40" t="str">
        <f t="shared" si="7"/>
        <v/>
      </c>
      <c r="BP14" s="40" t="str">
        <f t="shared" si="7"/>
        <v/>
      </c>
      <c r="BQ14" s="40" t="str">
        <f t="shared" si="7"/>
        <v/>
      </c>
      <c r="BR14" s="40" t="str">
        <f t="shared" si="7"/>
        <v/>
      </c>
      <c r="BS14" s="40" t="str">
        <f t="shared" si="7"/>
        <v/>
      </c>
      <c r="BT14" s="122">
        <f t="shared" si="8"/>
        <v>4747253.1800318435</v>
      </c>
    </row>
    <row r="15" spans="1:73" ht="13.5" customHeight="1" thickBot="1">
      <c r="A15" s="703">
        <v>41</v>
      </c>
      <c r="B15" s="146" t="str">
        <f>INDEX('S-Treatment'!$C$6:$C$9,MATCH(Table195781011121314236172728151617187202324[[#This Row],[a]],'S-Treatment'!$B$6:$B$9,0))</f>
        <v>WWTP  Dissolved Air Flotation #2 + EQ</v>
      </c>
      <c r="C15" s="129">
        <f>INDEX('S-Treatment'!$F$6:$F$9,MATCH(Table195781011121314236172728151617187202324[[#This Row],[a]],'S-Treatment'!$B$6:$B$9,0))</f>
        <v>2026</v>
      </c>
      <c r="D15" s="129">
        <f>INDEX('S-Treatment'!$G$6:$G$9,MATCH(Table195781011121314236172728151617187202324[[#This Row],[a]],'S-Treatment'!$B$6:$B$9,0))</f>
        <v>2028</v>
      </c>
      <c r="E15" s="130">
        <f>(D15-C15)+1</f>
        <v>3</v>
      </c>
      <c r="F15" s="109">
        <f>INDEX('S-Treatment'!$K$6:$K$9,MATCH(Table195781011121314236172728151617187202324[[#This Row],[a]],'S-Treatment'!$B$6:$B$9,0))</f>
        <v>3143443.7343749986</v>
      </c>
      <c r="G15" s="100"/>
      <c r="H15" s="104">
        <f>+Table195781011121314236172728151617187202324[[#This Row],[f]]-Table195781011121314236172728151617187202324[[#This Row],[g]]</f>
        <v>3143443.7343749986</v>
      </c>
      <c r="I15" s="110">
        <f>INDEX('S-Treatment'!$H$6:$H$9,MATCH(Table195781011121314236172728151617187202324[[#This Row],[a]],'S-Treatment'!$B$6:$B$9,0))</f>
        <v>1</v>
      </c>
      <c r="J15" s="102">
        <f>1-Table195781011121314236172728151617187202324[[#This Row],[i]]</f>
        <v>0</v>
      </c>
      <c r="K15" s="105">
        <f>(Table195781011121314236172728151617187202324[[#This Row],[h]]*Table195781011121314236172728151617187202324[[#This Row],[i]])</f>
        <v>3143443.7343749986</v>
      </c>
      <c r="L15" s="40">
        <f t="shared" si="4"/>
        <v>1047814.5781249995</v>
      </c>
      <c r="M15" s="40">
        <f t="shared" si="4"/>
        <v>1074009.9425781243</v>
      </c>
      <c r="N15" s="40">
        <f t="shared" si="4"/>
        <v>1100860.1911425774</v>
      </c>
      <c r="O15" s="40" t="str">
        <f t="shared" si="4"/>
        <v/>
      </c>
      <c r="P15" s="40" t="str">
        <f t="shared" si="4"/>
        <v/>
      </c>
      <c r="Q15" s="40" t="str">
        <f t="shared" si="4"/>
        <v/>
      </c>
      <c r="R15" s="40" t="str">
        <f t="shared" si="4"/>
        <v/>
      </c>
      <c r="S15" s="40" t="str">
        <f t="shared" si="4"/>
        <v/>
      </c>
      <c r="T15" s="40" t="str">
        <f t="shared" si="4"/>
        <v/>
      </c>
      <c r="U15" s="40" t="str">
        <f t="shared" si="4"/>
        <v/>
      </c>
      <c r="V15" s="40" t="str">
        <f t="shared" si="4"/>
        <v/>
      </c>
      <c r="W15" s="40" t="str">
        <f t="shared" si="4"/>
        <v/>
      </c>
      <c r="X15" s="40" t="str">
        <f t="shared" si="4"/>
        <v/>
      </c>
      <c r="Y15" s="40" t="str">
        <f t="shared" si="4"/>
        <v/>
      </c>
      <c r="Z15" s="40" t="str">
        <f t="shared" si="4"/>
        <v/>
      </c>
      <c r="AA15" s="40" t="str">
        <f t="shared" si="4"/>
        <v/>
      </c>
      <c r="AB15" s="40" t="str">
        <f t="shared" si="5"/>
        <v/>
      </c>
      <c r="AC15" s="40" t="str">
        <f t="shared" si="5"/>
        <v/>
      </c>
      <c r="AD15" s="40" t="str">
        <f t="shared" si="5"/>
        <v/>
      </c>
      <c r="AE15" s="40" t="str">
        <f t="shared" si="5"/>
        <v/>
      </c>
      <c r="AF15" s="40" t="str">
        <f t="shared" si="5"/>
        <v/>
      </c>
      <c r="AG15" s="40" t="str">
        <f t="shared" si="5"/>
        <v/>
      </c>
      <c r="AH15" s="40" t="str">
        <f t="shared" si="5"/>
        <v/>
      </c>
      <c r="AI15" s="40" t="str">
        <f t="shared" si="5"/>
        <v/>
      </c>
      <c r="AJ15" s="40" t="str">
        <f t="shared" si="5"/>
        <v/>
      </c>
      <c r="AK15" s="40" t="str">
        <f t="shared" si="5"/>
        <v/>
      </c>
      <c r="AL15" s="40" t="str">
        <f t="shared" si="5"/>
        <v/>
      </c>
      <c r="AM15" s="40" t="str">
        <f t="shared" si="5"/>
        <v/>
      </c>
      <c r="AN15" s="40" t="str">
        <f t="shared" si="5"/>
        <v/>
      </c>
      <c r="AO15" s="40" t="str">
        <f t="shared" si="5"/>
        <v/>
      </c>
      <c r="AP15" s="40" t="str">
        <f t="shared" si="5"/>
        <v/>
      </c>
      <c r="AQ15" s="40" t="str">
        <f t="shared" si="5"/>
        <v/>
      </c>
      <c r="AR15" s="40" t="str">
        <f t="shared" si="6"/>
        <v/>
      </c>
      <c r="AS15" s="40" t="str">
        <f t="shared" si="6"/>
        <v/>
      </c>
      <c r="AT15" s="40" t="str">
        <f t="shared" si="6"/>
        <v/>
      </c>
      <c r="AU15" s="40" t="str">
        <f t="shared" si="6"/>
        <v/>
      </c>
      <c r="AV15" s="40" t="str">
        <f t="shared" si="6"/>
        <v/>
      </c>
      <c r="AW15" s="40" t="str">
        <f t="shared" si="6"/>
        <v/>
      </c>
      <c r="AX15" s="40" t="str">
        <f t="shared" si="6"/>
        <v/>
      </c>
      <c r="AY15" s="40" t="str">
        <f t="shared" si="6"/>
        <v/>
      </c>
      <c r="AZ15" s="40" t="str">
        <f t="shared" si="6"/>
        <v/>
      </c>
      <c r="BA15" s="40" t="str">
        <f t="shared" si="6"/>
        <v/>
      </c>
      <c r="BB15" s="40" t="str">
        <f t="shared" si="6"/>
        <v/>
      </c>
      <c r="BC15" s="40" t="str">
        <f t="shared" si="6"/>
        <v/>
      </c>
      <c r="BD15" s="40" t="str">
        <f t="shared" si="6"/>
        <v/>
      </c>
      <c r="BE15" s="40" t="str">
        <f t="shared" si="6"/>
        <v/>
      </c>
      <c r="BF15" s="40" t="str">
        <f t="shared" si="6"/>
        <v/>
      </c>
      <c r="BG15" s="40" t="str">
        <f t="shared" si="6"/>
        <v/>
      </c>
      <c r="BH15" s="40" t="str">
        <f t="shared" si="7"/>
        <v/>
      </c>
      <c r="BI15" s="40" t="str">
        <f t="shared" si="7"/>
        <v/>
      </c>
      <c r="BJ15" s="40" t="str">
        <f t="shared" si="7"/>
        <v/>
      </c>
      <c r="BK15" s="40" t="str">
        <f t="shared" si="7"/>
        <v/>
      </c>
      <c r="BL15" s="40" t="str">
        <f t="shared" si="7"/>
        <v/>
      </c>
      <c r="BM15" s="40" t="str">
        <f t="shared" si="7"/>
        <v/>
      </c>
      <c r="BN15" s="40" t="str">
        <f t="shared" si="7"/>
        <v/>
      </c>
      <c r="BO15" s="40" t="str">
        <f t="shared" si="7"/>
        <v/>
      </c>
      <c r="BP15" s="40" t="str">
        <f t="shared" si="7"/>
        <v/>
      </c>
      <c r="BQ15" s="40" t="str">
        <f t="shared" si="7"/>
        <v/>
      </c>
      <c r="BR15" s="40" t="str">
        <f t="shared" si="7"/>
        <v/>
      </c>
      <c r="BS15" s="40" t="str">
        <f t="shared" si="7"/>
        <v/>
      </c>
      <c r="BT15" s="122">
        <f t="shared" si="8"/>
        <v>3222684.7118457016</v>
      </c>
    </row>
    <row r="16" spans="1:73" ht="15.6" thickTop="1" thickBot="1">
      <c r="A16" s="6"/>
      <c r="B16" s="6"/>
      <c r="C16" s="6"/>
      <c r="D16" s="6"/>
      <c r="E16" s="6"/>
      <c r="F16" s="12">
        <f>SUM(Table195781011121314236172728151617187202324[f])</f>
        <v>13192982.312499994</v>
      </c>
      <c r="G16" s="12"/>
      <c r="H16" s="12"/>
      <c r="I16" s="12"/>
      <c r="J16" s="12"/>
      <c r="K16" s="7">
        <f>SUM(Table195781011121314236172728151617187202324[k])</f>
        <v>11167353.414062494</v>
      </c>
      <c r="L16" s="7">
        <f t="shared" ref="L16:AQ16" si="9">+SUM(L12:L15)</f>
        <v>1275574.5781249995</v>
      </c>
      <c r="M16" s="7">
        <f t="shared" si="9"/>
        <v>2304393.3779947907</v>
      </c>
      <c r="N16" s="7">
        <f t="shared" si="9"/>
        <v>2362003.2124446603</v>
      </c>
      <c r="O16" s="7">
        <f t="shared" si="9"/>
        <v>1292671.5968346347</v>
      </c>
      <c r="P16" s="7">
        <f t="shared" si="9"/>
        <v>1543508.4511381732</v>
      </c>
      <c r="Q16" s="7">
        <f t="shared" si="9"/>
        <v>1582096.1624166276</v>
      </c>
      <c r="R16" s="7">
        <f t="shared" si="9"/>
        <v>1621648.5664770431</v>
      </c>
      <c r="S16" s="7">
        <f t="shared" si="9"/>
        <v>0</v>
      </c>
      <c r="T16" s="7">
        <f t="shared" si="9"/>
        <v>0</v>
      </c>
      <c r="U16" s="7">
        <f t="shared" si="9"/>
        <v>0</v>
      </c>
      <c r="V16" s="7">
        <f t="shared" si="9"/>
        <v>0</v>
      </c>
      <c r="W16" s="7">
        <f t="shared" si="9"/>
        <v>0</v>
      </c>
      <c r="X16" s="7">
        <f t="shared" si="9"/>
        <v>0</v>
      </c>
      <c r="Y16" s="7">
        <f t="shared" si="9"/>
        <v>0</v>
      </c>
      <c r="Z16" s="7">
        <f t="shared" si="9"/>
        <v>0</v>
      </c>
      <c r="AA16" s="7">
        <f t="shared" si="9"/>
        <v>0</v>
      </c>
      <c r="AB16" s="7">
        <f t="shared" si="9"/>
        <v>0</v>
      </c>
      <c r="AC16" s="7">
        <f t="shared" si="9"/>
        <v>0</v>
      </c>
      <c r="AD16" s="7">
        <f t="shared" si="9"/>
        <v>0</v>
      </c>
      <c r="AE16" s="7">
        <f t="shared" si="9"/>
        <v>0</v>
      </c>
      <c r="AF16" s="7">
        <f t="shared" si="9"/>
        <v>0</v>
      </c>
      <c r="AG16" s="7">
        <f t="shared" si="9"/>
        <v>0</v>
      </c>
      <c r="AH16" s="7">
        <f t="shared" si="9"/>
        <v>0</v>
      </c>
      <c r="AI16" s="7">
        <f t="shared" si="9"/>
        <v>0</v>
      </c>
      <c r="AJ16" s="7">
        <f t="shared" si="9"/>
        <v>0</v>
      </c>
      <c r="AK16" s="7">
        <f t="shared" si="9"/>
        <v>0</v>
      </c>
      <c r="AL16" s="7">
        <f t="shared" si="9"/>
        <v>0</v>
      </c>
      <c r="AM16" s="7">
        <f t="shared" si="9"/>
        <v>0</v>
      </c>
      <c r="AN16" s="7">
        <f t="shared" si="9"/>
        <v>0</v>
      </c>
      <c r="AO16" s="7">
        <f t="shared" si="9"/>
        <v>0</v>
      </c>
      <c r="AP16" s="7">
        <f t="shared" si="9"/>
        <v>0</v>
      </c>
      <c r="AQ16" s="7">
        <f t="shared" si="9"/>
        <v>0</v>
      </c>
      <c r="AR16" s="7">
        <f t="shared" ref="AR16:BS16" si="10">+SUM(AR12:AR15)</f>
        <v>0</v>
      </c>
      <c r="AS16" s="7">
        <f t="shared" si="10"/>
        <v>0</v>
      </c>
      <c r="AT16" s="7">
        <f t="shared" si="10"/>
        <v>0</v>
      </c>
      <c r="AU16" s="7">
        <f t="shared" si="10"/>
        <v>0</v>
      </c>
      <c r="AV16" s="7">
        <f t="shared" si="10"/>
        <v>0</v>
      </c>
      <c r="AW16" s="7">
        <f t="shared" si="10"/>
        <v>0</v>
      </c>
      <c r="AX16" s="7">
        <f t="shared" si="10"/>
        <v>0</v>
      </c>
      <c r="AY16" s="7">
        <f t="shared" si="10"/>
        <v>0</v>
      </c>
      <c r="AZ16" s="7">
        <f t="shared" si="10"/>
        <v>0</v>
      </c>
      <c r="BA16" s="7">
        <f t="shared" si="10"/>
        <v>0</v>
      </c>
      <c r="BB16" s="7">
        <f t="shared" si="10"/>
        <v>0</v>
      </c>
      <c r="BC16" s="7">
        <f t="shared" si="10"/>
        <v>0</v>
      </c>
      <c r="BD16" s="7">
        <f t="shared" si="10"/>
        <v>0</v>
      </c>
      <c r="BE16" s="7">
        <f t="shared" si="10"/>
        <v>0</v>
      </c>
      <c r="BF16" s="7">
        <f t="shared" si="10"/>
        <v>0</v>
      </c>
      <c r="BG16" s="7">
        <f t="shared" si="10"/>
        <v>0</v>
      </c>
      <c r="BH16" s="7">
        <f t="shared" si="10"/>
        <v>0</v>
      </c>
      <c r="BI16" s="7">
        <f t="shared" si="10"/>
        <v>0</v>
      </c>
      <c r="BJ16" s="7">
        <f t="shared" si="10"/>
        <v>0</v>
      </c>
      <c r="BK16" s="7">
        <f t="shared" si="10"/>
        <v>0</v>
      </c>
      <c r="BL16" s="7">
        <f t="shared" si="10"/>
        <v>0</v>
      </c>
      <c r="BM16" s="7">
        <f t="shared" si="10"/>
        <v>0</v>
      </c>
      <c r="BN16" s="7">
        <f t="shared" si="10"/>
        <v>0</v>
      </c>
      <c r="BO16" s="7">
        <f t="shared" si="10"/>
        <v>0</v>
      </c>
      <c r="BP16" s="7">
        <f t="shared" si="10"/>
        <v>0</v>
      </c>
      <c r="BQ16" s="7">
        <f t="shared" si="10"/>
        <v>0</v>
      </c>
      <c r="BR16" s="7">
        <f t="shared" si="10"/>
        <v>0</v>
      </c>
      <c r="BS16" s="7">
        <f t="shared" si="10"/>
        <v>0</v>
      </c>
      <c r="BT16" s="7">
        <f>SUM(BT12:BT15)</f>
        <v>11981895.945430929</v>
      </c>
    </row>
    <row r="18" spans="1:14" hidden="1"/>
    <row r="19" spans="1:14" hidden="1"/>
    <row r="20" spans="1:14" hidden="1"/>
    <row r="21" spans="1:14" hidden="1">
      <c r="I21"/>
    </row>
    <row r="22" spans="1:14" hidden="1"/>
    <row r="23" spans="1:14" hidden="1"/>
    <row r="24" spans="1:14" hidden="1"/>
    <row r="25" spans="1:14" hidden="1"/>
    <row r="26" spans="1:14" ht="15" thickBot="1">
      <c r="G26"/>
      <c r="H26"/>
      <c r="I26"/>
    </row>
    <row r="27" spans="1:14">
      <c r="A27" s="111"/>
      <c r="B27" s="20">
        <v>1</v>
      </c>
      <c r="C27" s="21">
        <v>2</v>
      </c>
      <c r="D27" s="21">
        <v>3</v>
      </c>
      <c r="E27" s="21">
        <v>4</v>
      </c>
      <c r="F27" s="21">
        <v>5</v>
      </c>
      <c r="G27" s="21">
        <v>6</v>
      </c>
      <c r="H27" s="21"/>
      <c r="I27" s="21">
        <v>7</v>
      </c>
      <c r="J27" s="21">
        <v>8</v>
      </c>
      <c r="K27" s="21">
        <v>9</v>
      </c>
      <c r="L27" s="25">
        <v>10</v>
      </c>
      <c r="M27" s="26">
        <v>11</v>
      </c>
      <c r="N27" s="27">
        <v>12</v>
      </c>
    </row>
    <row r="28" spans="1:14" ht="15" customHeight="1">
      <c r="A28" s="793"/>
      <c r="B28" s="76" t="s">
        <v>38</v>
      </c>
      <c r="C28" s="785" t="s">
        <v>37</v>
      </c>
      <c r="D28" s="785" t="s">
        <v>220</v>
      </c>
      <c r="E28" s="785" t="s">
        <v>224</v>
      </c>
      <c r="F28" s="785" t="s">
        <v>202</v>
      </c>
      <c r="G28" s="787" t="s">
        <v>36</v>
      </c>
      <c r="H28" s="785" t="s">
        <v>198</v>
      </c>
      <c r="I28" s="24" t="s">
        <v>199</v>
      </c>
      <c r="J28" s="785" t="s">
        <v>35</v>
      </c>
      <c r="K28" s="785" t="s">
        <v>34</v>
      </c>
      <c r="L28" s="783" t="s">
        <v>227</v>
      </c>
      <c r="M28" s="784"/>
      <c r="N28" s="788" t="s">
        <v>33</v>
      </c>
    </row>
    <row r="29" spans="1:14">
      <c r="A29" s="793"/>
      <c r="B29" s="76"/>
      <c r="C29" s="785"/>
      <c r="D29" s="785"/>
      <c r="E29" s="785"/>
      <c r="F29" s="785"/>
      <c r="G29" s="787"/>
      <c r="H29" s="785"/>
      <c r="I29" s="288">
        <v>42020.473886577878</v>
      </c>
      <c r="J29" s="785"/>
      <c r="K29" s="785"/>
      <c r="L29" s="783"/>
      <c r="M29" s="784"/>
      <c r="N29" s="788"/>
    </row>
    <row r="30" spans="1:14">
      <c r="A30" s="793"/>
      <c r="B30" s="22"/>
      <c r="C30" s="785"/>
      <c r="D30" s="785"/>
      <c r="E30" s="785"/>
      <c r="F30" s="785"/>
      <c r="G30" s="787"/>
      <c r="H30" s="785"/>
      <c r="I30" s="23"/>
      <c r="J30" s="785"/>
      <c r="K30" s="785"/>
      <c r="L30" s="19"/>
      <c r="M30" s="18"/>
      <c r="N30" s="788"/>
    </row>
    <row r="31" spans="1:14">
      <c r="A31" s="793"/>
      <c r="B31" s="22"/>
      <c r="C31" s="785"/>
      <c r="D31" s="785"/>
      <c r="E31" s="53"/>
      <c r="F31" s="53"/>
      <c r="G31" s="787"/>
      <c r="H31" s="785"/>
      <c r="I31" s="89"/>
      <c r="J31" s="250"/>
      <c r="K31" s="23"/>
      <c r="L31" s="52" t="s">
        <v>7</v>
      </c>
      <c r="M31" s="90" t="s">
        <v>8</v>
      </c>
      <c r="N31" s="788"/>
    </row>
    <row r="32" spans="1:14">
      <c r="A32" s="793"/>
      <c r="B32" s="91"/>
      <c r="C32" s="785"/>
      <c r="D32" s="250" t="s">
        <v>7</v>
      </c>
      <c r="E32" s="53" t="s">
        <v>8</v>
      </c>
      <c r="F32" s="53" t="s">
        <v>8</v>
      </c>
      <c r="G32" s="23"/>
      <c r="H32" s="23"/>
      <c r="I32" s="92" t="s">
        <v>11</v>
      </c>
      <c r="J32" s="250" t="s">
        <v>7</v>
      </c>
      <c r="K32" s="23"/>
      <c r="L32" s="591">
        <f>Assumptions!$B$6</f>
        <v>2.6740000000000003E-2</v>
      </c>
      <c r="M32" s="93">
        <f>+Assumptions!$B$7</f>
        <v>4.496E-2</v>
      </c>
      <c r="N32" s="788"/>
    </row>
    <row r="33" spans="1:16" ht="15" thickBot="1">
      <c r="A33" s="793"/>
      <c r="B33" s="272"/>
      <c r="C33" s="786"/>
      <c r="D33" s="273"/>
      <c r="E33" s="274"/>
      <c r="F33" s="275"/>
      <c r="G33" s="274"/>
      <c r="H33" s="274"/>
      <c r="I33" s="274">
        <f>L10</f>
        <v>2026</v>
      </c>
      <c r="J33" s="276" t="s">
        <v>221</v>
      </c>
      <c r="K33" s="276" t="s">
        <v>222</v>
      </c>
      <c r="L33" s="277"/>
      <c r="M33" s="278"/>
      <c r="N33" s="279" t="s">
        <v>223</v>
      </c>
    </row>
    <row r="34" spans="1:16" hidden="1">
      <c r="A34" s="217"/>
      <c r="B34" s="266">
        <v>2020</v>
      </c>
      <c r="C34" s="267"/>
      <c r="D34" s="267"/>
      <c r="E34" s="267"/>
      <c r="F34" s="268"/>
      <c r="G34" s="267"/>
      <c r="H34" s="267"/>
      <c r="I34" s="267"/>
      <c r="J34" s="269"/>
      <c r="K34" s="269"/>
      <c r="L34" s="269"/>
      <c r="M34" s="270"/>
      <c r="N34" s="271"/>
    </row>
    <row r="35" spans="1:16" hidden="1">
      <c r="A35" s="217"/>
      <c r="B35" s="218">
        <v>2021</v>
      </c>
      <c r="C35" s="262"/>
      <c r="D35" s="262"/>
      <c r="E35" s="262"/>
      <c r="F35" s="263"/>
      <c r="G35" s="262"/>
      <c r="H35" s="262"/>
      <c r="I35" s="262"/>
      <c r="J35" s="95"/>
      <c r="K35" s="95"/>
      <c r="L35" s="95"/>
      <c r="M35" s="264"/>
      <c r="N35" s="265"/>
    </row>
    <row r="36" spans="1:16" hidden="1">
      <c r="A36" s="217"/>
      <c r="B36" s="218">
        <v>2022</v>
      </c>
      <c r="C36" s="15"/>
      <c r="D36" s="15"/>
      <c r="E36" s="15"/>
      <c r="F36" s="15"/>
      <c r="G36" s="94"/>
      <c r="H36" s="94"/>
      <c r="I36" s="15"/>
      <c r="J36" s="15"/>
      <c r="K36" s="15"/>
      <c r="L36" s="15"/>
      <c r="M36" s="15"/>
      <c r="N36" s="219"/>
    </row>
    <row r="37" spans="1:16" hidden="1">
      <c r="A37" s="217"/>
      <c r="B37" s="218">
        <v>2023</v>
      </c>
      <c r="C37" s="96"/>
      <c r="D37" s="96"/>
      <c r="E37" s="96"/>
      <c r="F37" s="96"/>
      <c r="G37" s="96"/>
      <c r="H37" s="96"/>
      <c r="I37" s="96"/>
      <c r="J37" s="196"/>
      <c r="K37" s="196"/>
      <c r="L37" s="196"/>
      <c r="M37" s="260"/>
      <c r="N37" s="261"/>
    </row>
    <row r="38" spans="1:16" hidden="1">
      <c r="A38" s="217"/>
      <c r="B38" s="218">
        <f t="shared" ref="B38:B74" si="11">+B37+1</f>
        <v>2024</v>
      </c>
      <c r="C38" s="192"/>
      <c r="D38" s="192"/>
      <c r="E38" s="192"/>
      <c r="F38" s="96"/>
      <c r="G38" s="96"/>
      <c r="H38" s="96"/>
      <c r="I38" s="96"/>
      <c r="J38" s="197"/>
      <c r="K38" s="196"/>
      <c r="L38" s="196"/>
      <c r="M38" s="260"/>
      <c r="N38" s="261"/>
    </row>
    <row r="39" spans="1:16" ht="15" hidden="1" thickBot="1">
      <c r="A39" s="217"/>
      <c r="B39" s="304">
        <f t="shared" si="11"/>
        <v>2025</v>
      </c>
      <c r="C39" s="309"/>
      <c r="D39" s="309"/>
      <c r="E39" s="310"/>
      <c r="F39" s="305"/>
      <c r="G39" s="192"/>
      <c r="H39" s="192"/>
      <c r="I39" s="192"/>
      <c r="J39" s="289"/>
      <c r="K39" s="289"/>
      <c r="L39" s="289"/>
      <c r="M39" s="290"/>
      <c r="N39" s="306"/>
      <c r="P39" s="14"/>
    </row>
    <row r="40" spans="1:16" ht="16.2">
      <c r="A40" s="217"/>
      <c r="B40" s="291">
        <f t="shared" si="11"/>
        <v>2026</v>
      </c>
      <c r="C40" s="344">
        <f>Assumptions!B33</f>
        <v>-15077714.723884443</v>
      </c>
      <c r="D40" s="311">
        <f>SUMIF('Sanitary Debentures'!$D$12:$D$38,B39,'Sanitary Debentures'!$G$12:$G$38)</f>
        <v>15077617.290000001</v>
      </c>
      <c r="E40" s="308">
        <f>SUMIF('Sanitary Debentures'!$D$12:$D$38,B40,'Sanitary Debentures'!$E$12:$E$38)</f>
        <v>966493.58</v>
      </c>
      <c r="F40" s="312">
        <f ca="1">OFFSET($L$16,0,B40-Assumptions!$B$3)</f>
        <v>1275574.5781249995</v>
      </c>
      <c r="G40" s="329">
        <f>'Cost Recovery Timing'!R15</f>
        <v>18.475999999999999</v>
      </c>
      <c r="H40" s="292">
        <f>Assumptions!$B$23</f>
        <v>0.02</v>
      </c>
      <c r="I40" s="298">
        <f>+I29</f>
        <v>42020.473886577878</v>
      </c>
      <c r="J40" s="342">
        <f>(G40*I40*Assumptions!$B$28)+'2026 Collections Summary'!C21</f>
        <v>1409281.4196585238</v>
      </c>
      <c r="K40" s="295">
        <f ca="1">+C40+D40-E40-F40+J40</f>
        <v>-832884.17235091771</v>
      </c>
      <c r="L40" s="295">
        <f t="shared" ref="L40:L65" ca="1" si="12">IF(K40&lt;0,0,+K40*$L$32)</f>
        <v>0</v>
      </c>
      <c r="M40" s="299">
        <f t="shared" ref="M40:M65" ca="1" si="13">IF(K40&lt;0,+K40*$M$32,0)</f>
        <v>-37446.472388897258</v>
      </c>
      <c r="N40" s="300">
        <f t="shared" ref="N40:N43" ca="1" si="14">+L40+K40+M40</f>
        <v>-870330.64473981492</v>
      </c>
      <c r="P40" s="47"/>
    </row>
    <row r="41" spans="1:16">
      <c r="A41" s="217"/>
      <c r="B41" s="218">
        <f t="shared" si="11"/>
        <v>2027</v>
      </c>
      <c r="C41" s="257">
        <f t="shared" ref="C41:C74" ca="1" si="15">+N40</f>
        <v>-870330.64473981492</v>
      </c>
      <c r="D41" s="257">
        <v>0</v>
      </c>
      <c r="E41" s="251">
        <f>SUMIF('Sanitary Debentures'!$D$12:$D$38,B41,'Sanitary Debentures'!$E$12:$E$38)</f>
        <v>966493.58</v>
      </c>
      <c r="F41" s="256">
        <f ca="1">OFFSET($L$16,0,B41-Assumptions!$B$3)</f>
        <v>2304393.3779947907</v>
      </c>
      <c r="G41" s="223">
        <f>'Cost Recovery Timing'!R16</f>
        <v>28.58</v>
      </c>
      <c r="H41" s="224">
        <f>Assumptions!$B$23</f>
        <v>0.02</v>
      </c>
      <c r="I41" s="253">
        <f>+IF(B41&gt;$B$65,0,I40*(1+$H41))</f>
        <v>42860.883364309433</v>
      </c>
      <c r="J41" s="343">
        <f>(G41*I41*Assumptions!$B$28)+(G40*I40*Assumptions!$B$27)+(G39*I39*Assumptions!$B$26)+'2026 Collections Summary'!C34</f>
        <v>1504676.4036241127</v>
      </c>
      <c r="K41" s="253">
        <f t="shared" ref="K41:K74" ca="1" si="16">+C41+D41-E41-F41+J41</f>
        <v>-2636541.1991104931</v>
      </c>
      <c r="L41" s="253">
        <f t="shared" ca="1" si="12"/>
        <v>0</v>
      </c>
      <c r="M41" s="254">
        <f t="shared" ca="1" si="13"/>
        <v>-118538.89231200777</v>
      </c>
      <c r="N41" s="285">
        <f t="shared" ca="1" si="14"/>
        <v>-2755080.091422501</v>
      </c>
      <c r="P41" s="47"/>
    </row>
    <row r="42" spans="1:16">
      <c r="A42" s="217"/>
      <c r="B42" s="218">
        <f t="shared" si="11"/>
        <v>2028</v>
      </c>
      <c r="C42" s="257">
        <f t="shared" ca="1" si="15"/>
        <v>-2755080.091422501</v>
      </c>
      <c r="D42" s="257">
        <v>0</v>
      </c>
      <c r="E42" s="251">
        <f>SUMIF('Sanitary Debentures'!$D$12:$D$38,B42,'Sanitary Debentures'!$E$12:$E$38)</f>
        <v>966493.58</v>
      </c>
      <c r="F42" s="256">
        <f ca="1">OFFSET($L$16,0,B42-Assumptions!$B$3)</f>
        <v>2362003.2124446603</v>
      </c>
      <c r="G42" s="223">
        <f>'Cost Recovery Timing'!R17</f>
        <v>28.58</v>
      </c>
      <c r="H42" s="224">
        <f>Assumptions!$B$23</f>
        <v>0.02</v>
      </c>
      <c r="I42" s="253">
        <f t="shared" ref="I42:I74" si="17">+IF(B42&gt;$B$65,0,I41*(1+$H42))</f>
        <v>43718.101031595623</v>
      </c>
      <c r="J42" s="253">
        <f>(G42*I42*Assumptions!$B$28)+(G41*I41*Assumptions!$B$27)+(G40*I40*Assumptions!$B$26)</f>
        <v>1052876.3224218551</v>
      </c>
      <c r="K42" s="253">
        <f t="shared" ca="1" si="16"/>
        <v>-5030700.5614453061</v>
      </c>
      <c r="L42" s="253">
        <f ca="1">IF(K42&lt;0,0,+K42*$L$32)</f>
        <v>0</v>
      </c>
      <c r="M42" s="254">
        <f ca="1">IF(K42&lt;0,+K42*$M$32,0)</f>
        <v>-226180.29724258097</v>
      </c>
      <c r="N42" s="285">
        <f t="shared" ca="1" si="14"/>
        <v>-5256880.858687887</v>
      </c>
      <c r="P42" s="47"/>
    </row>
    <row r="43" spans="1:16">
      <c r="A43" s="217"/>
      <c r="B43" s="218">
        <f t="shared" si="11"/>
        <v>2029</v>
      </c>
      <c r="C43" s="257">
        <f t="shared" ca="1" si="15"/>
        <v>-5256880.858687887</v>
      </c>
      <c r="D43" s="257">
        <v>0</v>
      </c>
      <c r="E43" s="251">
        <f>SUMIF('Sanitary Debentures'!$D$12:$D$38,B43,'Sanitary Debentures'!$E$12:$E$38)</f>
        <v>966493.58</v>
      </c>
      <c r="F43" s="256">
        <f ca="1">OFFSET($L$16,0,B43-Assumptions!$B$3)</f>
        <v>1292671.5968346347</v>
      </c>
      <c r="G43" s="223">
        <f>'Cost Recovery Timing'!R18</f>
        <v>28.58</v>
      </c>
      <c r="H43" s="224">
        <f>Assumptions!$B$23</f>
        <v>0.02</v>
      </c>
      <c r="I43" s="253">
        <f t="shared" si="17"/>
        <v>44592.463052227533</v>
      </c>
      <c r="J43" s="253">
        <f>(G43*I43*Assumptions!$B$28)+(G42*I42*Assumptions!$B$27)+(G41*I41*Assumptions!$B$26)</f>
        <v>1247160.3950754851</v>
      </c>
      <c r="K43" s="253">
        <f t="shared" ca="1" si="16"/>
        <v>-6268885.6404470364</v>
      </c>
      <c r="L43" s="253">
        <f t="shared" ca="1" si="12"/>
        <v>0</v>
      </c>
      <c r="M43" s="254">
        <f t="shared" ca="1" si="13"/>
        <v>-281849.09839449875</v>
      </c>
      <c r="N43" s="285">
        <f t="shared" ca="1" si="14"/>
        <v>-6550734.7388415355</v>
      </c>
      <c r="P43" s="47"/>
    </row>
    <row r="44" spans="1:16">
      <c r="A44" s="217"/>
      <c r="B44" s="218">
        <f t="shared" si="11"/>
        <v>2030</v>
      </c>
      <c r="C44" s="257">
        <f t="shared" ca="1" si="15"/>
        <v>-6550734.7388415355</v>
      </c>
      <c r="D44" s="257">
        <v>0</v>
      </c>
      <c r="E44" s="251">
        <f>SUMIF('Sanitary Debentures'!$D$12:$D$38,B44,'Sanitary Debentures'!$E$12:$E$38)</f>
        <v>966493.58</v>
      </c>
      <c r="F44" s="256">
        <f ca="1">OFFSET($L$16,0,B44-Assumptions!$B$3)</f>
        <v>1543508.4511381732</v>
      </c>
      <c r="G44" s="223">
        <f>'Cost Recovery Timing'!R19</f>
        <v>28.58</v>
      </c>
      <c r="H44" s="224">
        <f>Assumptions!$B$23</f>
        <v>0.02</v>
      </c>
      <c r="I44" s="253">
        <f t="shared" si="17"/>
        <v>45484.312313272087</v>
      </c>
      <c r="J44" s="253">
        <f>(G44*I44*Assumptions!$B$28)+(G43*I43*Assumptions!$B$27)+(G42*I42*Assumptions!$B$26)</f>
        <v>1272103.6029769948</v>
      </c>
      <c r="K44" s="253">
        <f t="shared" ca="1" si="16"/>
        <v>-7788633.1670027133</v>
      </c>
      <c r="L44" s="253">
        <f t="shared" ca="1" si="12"/>
        <v>0</v>
      </c>
      <c r="M44" s="254">
        <f t="shared" ca="1" si="13"/>
        <v>-350176.94718844199</v>
      </c>
      <c r="N44" s="285">
        <f ca="1">+L44+K44+M44</f>
        <v>-8138810.1141911549</v>
      </c>
      <c r="P44" s="47"/>
    </row>
    <row r="45" spans="1:16">
      <c r="A45" s="217"/>
      <c r="B45" s="218">
        <f t="shared" si="11"/>
        <v>2031</v>
      </c>
      <c r="C45" s="257">
        <f t="shared" ca="1" si="15"/>
        <v>-8138810.1141911549</v>
      </c>
      <c r="D45" s="257">
        <v>0</v>
      </c>
      <c r="E45" s="251">
        <f>SUMIF('Sanitary Debentures'!$D$12:$D$38,B45,'Sanitary Debentures'!$E$12:$E$38)</f>
        <v>966493.58</v>
      </c>
      <c r="F45" s="256">
        <f ca="1">OFFSET($L$16,0,B45-Assumptions!$B$3)</f>
        <v>1582096.1624166276</v>
      </c>
      <c r="G45" s="223">
        <f>'Cost Recovery Timing'!R20</f>
        <v>28.58</v>
      </c>
      <c r="H45" s="224">
        <f>Assumptions!$B$23</f>
        <v>0.02</v>
      </c>
      <c r="I45" s="253">
        <f t="shared" si="17"/>
        <v>46393.998559537526</v>
      </c>
      <c r="J45" s="253">
        <f>(G45*I45*Assumptions!$B$28)+(G44*I44*Assumptions!$B$27)+(G43*I43*Assumptions!$B$26)</f>
        <v>1297545.6750365347</v>
      </c>
      <c r="K45" s="253">
        <f t="shared" ca="1" si="16"/>
        <v>-9389854.1815712471</v>
      </c>
      <c r="L45" s="253">
        <f t="shared" ca="1" si="12"/>
        <v>0</v>
      </c>
      <c r="M45" s="254">
        <f t="shared" ca="1" si="13"/>
        <v>-422167.84400344326</v>
      </c>
      <c r="N45" s="285">
        <f t="shared" ref="N45:N52" ca="1" si="18">+L45+K45+M45</f>
        <v>-9812022.0255746897</v>
      </c>
      <c r="P45" s="47"/>
    </row>
    <row r="46" spans="1:16">
      <c r="A46" s="217"/>
      <c r="B46" s="218">
        <f t="shared" si="11"/>
        <v>2032</v>
      </c>
      <c r="C46" s="257">
        <f t="shared" ca="1" si="15"/>
        <v>-9812022.0255746897</v>
      </c>
      <c r="D46" s="257">
        <v>0</v>
      </c>
      <c r="E46" s="251">
        <f>SUMIF('Sanitary Debentures'!$D$12:$D$38,B46,'Sanitary Debentures'!$E$12:$E$38)</f>
        <v>966493.58</v>
      </c>
      <c r="F46" s="256">
        <f ca="1">OFFSET($L$16,0,B46-Assumptions!$B$3)</f>
        <v>1621648.5664770431</v>
      </c>
      <c r="G46" s="223">
        <f>'Cost Recovery Timing'!R21</f>
        <v>28.58</v>
      </c>
      <c r="H46" s="224">
        <f>Assumptions!$B$23</f>
        <v>0.02</v>
      </c>
      <c r="I46" s="253">
        <f t="shared" si="17"/>
        <v>47321.878530728274</v>
      </c>
      <c r="J46" s="253">
        <f>(G46*I46*Assumptions!$B$28)+(G45*I45*Assumptions!$B$27)+(G44*I44*Assumptions!$B$26)</f>
        <v>1323496.5885372653</v>
      </c>
      <c r="K46" s="253">
        <f t="shared" ca="1" si="16"/>
        <v>-11076667.583514469</v>
      </c>
      <c r="L46" s="253">
        <f t="shared" ca="1" si="12"/>
        <v>0</v>
      </c>
      <c r="M46" s="254">
        <f t="shared" ca="1" si="13"/>
        <v>-498006.9745548105</v>
      </c>
      <c r="N46" s="285">
        <f t="shared" ca="1" si="18"/>
        <v>-11574674.558069279</v>
      </c>
      <c r="P46" s="47"/>
    </row>
    <row r="47" spans="1:16">
      <c r="A47" s="217"/>
      <c r="B47" s="218">
        <f t="shared" si="11"/>
        <v>2033</v>
      </c>
      <c r="C47" s="257">
        <f t="shared" ca="1" si="15"/>
        <v>-11574674.558069279</v>
      </c>
      <c r="D47" s="257">
        <v>0</v>
      </c>
      <c r="E47" s="251">
        <f>SUMIF('Sanitary Debentures'!$D$12:$D$38,B47,'Sanitary Debentures'!$E$12:$E$38)</f>
        <v>966493.58</v>
      </c>
      <c r="F47" s="256">
        <f ca="1">OFFSET($L$16,0,B47-Assumptions!$B$3)</f>
        <v>0</v>
      </c>
      <c r="G47" s="223">
        <f>'Cost Recovery Timing'!R22</f>
        <v>28.58</v>
      </c>
      <c r="H47" s="224">
        <f>Assumptions!$B$23</f>
        <v>0.02</v>
      </c>
      <c r="I47" s="253">
        <f t="shared" si="17"/>
        <v>48268.31610134284</v>
      </c>
      <c r="J47" s="253">
        <f>(G47*I47*Assumptions!$B$28)+(G46*I46*Assumptions!$B$27)+(G45*I45*Assumptions!$B$26)</f>
        <v>1349966.5203080107</v>
      </c>
      <c r="K47" s="253">
        <f t="shared" ca="1" si="16"/>
        <v>-11191201.617761269</v>
      </c>
      <c r="L47" s="253">
        <f t="shared" ca="1" si="12"/>
        <v>0</v>
      </c>
      <c r="M47" s="254">
        <f t="shared" ca="1" si="13"/>
        <v>-503156.42473454669</v>
      </c>
      <c r="N47" s="285">
        <f t="shared" ca="1" si="18"/>
        <v>-11694358.042495815</v>
      </c>
      <c r="P47" s="47"/>
    </row>
    <row r="48" spans="1:16">
      <c r="A48" s="217"/>
      <c r="B48" s="218">
        <f t="shared" si="11"/>
        <v>2034</v>
      </c>
      <c r="C48" s="257">
        <f t="shared" ca="1" si="15"/>
        <v>-11694358.042495815</v>
      </c>
      <c r="D48" s="257">
        <v>0</v>
      </c>
      <c r="E48" s="251">
        <f>SUMIF('Sanitary Debentures'!$D$12:$D$38,B48,'Sanitary Debentures'!$E$12:$E$38)</f>
        <v>966493.58</v>
      </c>
      <c r="F48" s="256">
        <f ca="1">OFFSET($L$16,0,B48-Assumptions!$B$3)</f>
        <v>0</v>
      </c>
      <c r="G48" s="223">
        <f>'Cost Recovery Timing'!R23</f>
        <v>28.58</v>
      </c>
      <c r="H48" s="224">
        <f>Assumptions!$B$23</f>
        <v>0.02</v>
      </c>
      <c r="I48" s="253">
        <f t="shared" si="17"/>
        <v>49233.682423369697</v>
      </c>
      <c r="J48" s="253">
        <f>(G48*I48*Assumptions!$B$28)+(G47*I47*Assumptions!$B$27)+(G46*I46*Assumptions!$B$26)</f>
        <v>1376965.8507141708</v>
      </c>
      <c r="K48" s="253">
        <f t="shared" ca="1" si="16"/>
        <v>-11283885.771781644</v>
      </c>
      <c r="L48" s="253">
        <f t="shared" ca="1" si="12"/>
        <v>0</v>
      </c>
      <c r="M48" s="254">
        <f t="shared" ca="1" si="13"/>
        <v>-507323.5042993027</v>
      </c>
      <c r="N48" s="285">
        <f t="shared" ca="1" si="18"/>
        <v>-11791209.276080947</v>
      </c>
      <c r="P48" s="47"/>
    </row>
    <row r="49" spans="1:16">
      <c r="A49" s="217"/>
      <c r="B49" s="218">
        <f t="shared" si="11"/>
        <v>2035</v>
      </c>
      <c r="C49" s="257">
        <f t="shared" ca="1" si="15"/>
        <v>-11791209.276080947</v>
      </c>
      <c r="D49" s="257">
        <v>0</v>
      </c>
      <c r="E49" s="251">
        <f>SUMIF('Sanitary Debentures'!$D$12:$D$38,B49,'Sanitary Debentures'!$E$12:$E$38)</f>
        <v>966493.58</v>
      </c>
      <c r="F49" s="256">
        <f ca="1">OFFSET($L$16,0,B49-Assumptions!$B$3)</f>
        <v>0</v>
      </c>
      <c r="G49" s="223">
        <f>'Cost Recovery Timing'!R24</f>
        <v>28.58</v>
      </c>
      <c r="H49" s="224">
        <f>Assumptions!$B$23</f>
        <v>0.02</v>
      </c>
      <c r="I49" s="253">
        <f t="shared" si="17"/>
        <v>50218.356071837094</v>
      </c>
      <c r="J49" s="253">
        <f>(G49*I49*Assumptions!$B$28)+(G48*I48*Assumptions!$B$27)+(G47*I47*Assumptions!$B$26)</f>
        <v>1404505.1677284543</v>
      </c>
      <c r="K49" s="253">
        <f t="shared" ca="1" si="16"/>
        <v>-11353197.688352494</v>
      </c>
      <c r="L49" s="253">
        <f t="shared" ca="1" si="12"/>
        <v>0</v>
      </c>
      <c r="M49" s="254">
        <f t="shared" ca="1" si="13"/>
        <v>-510439.76806832809</v>
      </c>
      <c r="N49" s="285">
        <f t="shared" ca="1" si="18"/>
        <v>-11863637.456420822</v>
      </c>
      <c r="P49" s="47"/>
    </row>
    <row r="50" spans="1:16">
      <c r="A50" s="217"/>
      <c r="B50" s="218">
        <f t="shared" si="11"/>
        <v>2036</v>
      </c>
      <c r="C50" s="257">
        <f t="shared" ca="1" si="15"/>
        <v>-11863637.456420822</v>
      </c>
      <c r="D50" s="257">
        <v>0</v>
      </c>
      <c r="E50" s="251">
        <f>SUMIF('Sanitary Debentures'!$D$12:$D$38,B50,'Sanitary Debentures'!$E$12:$E$38)</f>
        <v>966493.58</v>
      </c>
      <c r="F50" s="256">
        <f ca="1">OFFSET($L$16,0,B50-Assumptions!$B$3)</f>
        <v>0</v>
      </c>
      <c r="G50" s="223">
        <f>'Cost Recovery Timing'!R25</f>
        <v>28.58</v>
      </c>
      <c r="H50" s="224">
        <f>Assumptions!$B$23</f>
        <v>0.02</v>
      </c>
      <c r="I50" s="253">
        <f t="shared" si="17"/>
        <v>51222.723193273836</v>
      </c>
      <c r="J50" s="253">
        <f>(G50*I50*Assumptions!$B$28)+(G49*I49*Assumptions!$B$27)+(G48*I48*Assumptions!$B$26)</f>
        <v>1432595.2710830234</v>
      </c>
      <c r="K50" s="253">
        <f t="shared" ca="1" si="16"/>
        <v>-11397535.765337799</v>
      </c>
      <c r="L50" s="253">
        <f t="shared" ca="1" si="12"/>
        <v>0</v>
      </c>
      <c r="M50" s="254">
        <f t="shared" ca="1" si="13"/>
        <v>-512433.20800958743</v>
      </c>
      <c r="N50" s="285">
        <f t="shared" ca="1" si="18"/>
        <v>-11909968.973347386</v>
      </c>
      <c r="P50" s="47"/>
    </row>
    <row r="51" spans="1:16">
      <c r="A51" s="217"/>
      <c r="B51" s="218">
        <f t="shared" si="11"/>
        <v>2037</v>
      </c>
      <c r="C51" s="257">
        <f t="shared" ca="1" si="15"/>
        <v>-11909968.973347386</v>
      </c>
      <c r="D51" s="257">
        <v>0</v>
      </c>
      <c r="E51" s="251">
        <f>SUMIF('Sanitary Debentures'!$D$12:$D$38,B51,'Sanitary Debentures'!$E$12:$E$38)</f>
        <v>966493.58</v>
      </c>
      <c r="F51" s="256">
        <f ca="1">OFFSET($L$16,0,B51-Assumptions!$B$3)</f>
        <v>0</v>
      </c>
      <c r="G51" s="223">
        <f>'Cost Recovery Timing'!R26</f>
        <v>28.58</v>
      </c>
      <c r="H51" s="224">
        <f>Assumptions!$B$23</f>
        <v>0.02</v>
      </c>
      <c r="I51" s="253">
        <f t="shared" si="17"/>
        <v>52247.177657139313</v>
      </c>
      <c r="J51" s="253">
        <f>(G51*I51*Assumptions!$B$28)+(G50*I50*Assumptions!$B$27)+(G49*I49*Assumptions!$B$26)</f>
        <v>1461247.1765046837</v>
      </c>
      <c r="K51" s="253">
        <f t="shared" ca="1" si="16"/>
        <v>-11415215.376842704</v>
      </c>
      <c r="L51" s="253">
        <f t="shared" ca="1" si="12"/>
        <v>0</v>
      </c>
      <c r="M51" s="254">
        <f t="shared" ca="1" si="13"/>
        <v>-513228.08334284794</v>
      </c>
      <c r="N51" s="285">
        <f t="shared" ca="1" si="18"/>
        <v>-11928443.460185552</v>
      </c>
      <c r="P51" s="47"/>
    </row>
    <row r="52" spans="1:16">
      <c r="A52" s="217"/>
      <c r="B52" s="218">
        <f t="shared" si="11"/>
        <v>2038</v>
      </c>
      <c r="C52" s="257">
        <f t="shared" ca="1" si="15"/>
        <v>-11928443.460185552</v>
      </c>
      <c r="D52" s="257">
        <v>0</v>
      </c>
      <c r="E52" s="251">
        <f>SUMIF('Sanitary Debentures'!$D$12:$D$38,B52,'Sanitary Debentures'!$E$12:$E$38)</f>
        <v>966493.58</v>
      </c>
      <c r="F52" s="256">
        <f ca="1">OFFSET($L$16,0,B52-Assumptions!$B$3)</f>
        <v>0</v>
      </c>
      <c r="G52" s="223">
        <f>'Cost Recovery Timing'!R27</f>
        <v>28.58</v>
      </c>
      <c r="H52" s="224">
        <f>Assumptions!$B$23</f>
        <v>0.02</v>
      </c>
      <c r="I52" s="253">
        <f t="shared" si="17"/>
        <v>53292.121210282101</v>
      </c>
      <c r="J52" s="253">
        <f>(G52*I52*Assumptions!$B$28)+(G51*I51*Assumptions!$B$27)+(G50*I50*Assumptions!$B$26)</f>
        <v>1490472.1200347776</v>
      </c>
      <c r="K52" s="253">
        <f t="shared" ca="1" si="16"/>
        <v>-11404464.920150775</v>
      </c>
      <c r="L52" s="253">
        <f t="shared" ca="1" si="12"/>
        <v>0</v>
      </c>
      <c r="M52" s="254">
        <f t="shared" ca="1" si="13"/>
        <v>-512744.74280997884</v>
      </c>
      <c r="N52" s="285">
        <f t="shared" ca="1" si="18"/>
        <v>-11917209.662960755</v>
      </c>
      <c r="P52" s="47"/>
    </row>
    <row r="53" spans="1:16">
      <c r="A53" s="217"/>
      <c r="B53" s="218">
        <f>+B52+1</f>
        <v>2039</v>
      </c>
      <c r="C53" s="257">
        <f t="shared" ca="1" si="15"/>
        <v>-11917209.662960755</v>
      </c>
      <c r="D53" s="257">
        <v>0</v>
      </c>
      <c r="E53" s="251">
        <f>SUMIF('Sanitary Debentures'!$D$12:$D$38,B53,'Sanitary Debentures'!$E$12:$E$38)</f>
        <v>966493.58</v>
      </c>
      <c r="F53" s="256">
        <f ca="1">OFFSET($L$16,0,B53-Assumptions!$B$3)</f>
        <v>0</v>
      </c>
      <c r="G53" s="223">
        <f>'Cost Recovery Timing'!R28</f>
        <v>28.58</v>
      </c>
      <c r="H53" s="224">
        <f>Assumptions!$B$23</f>
        <v>0.02</v>
      </c>
      <c r="I53" s="253">
        <f t="shared" si="17"/>
        <v>54357.963634487744</v>
      </c>
      <c r="J53" s="253">
        <f>(G53*I53*Assumptions!$B$28)+(G52*I52*Assumptions!$B$27)+(G51*I51*Assumptions!$B$26)</f>
        <v>1520281.5624354733</v>
      </c>
      <c r="K53" s="253">
        <f t="shared" ca="1" si="16"/>
        <v>-11363421.680525281</v>
      </c>
      <c r="L53" s="253">
        <f t="shared" ca="1" si="12"/>
        <v>0</v>
      </c>
      <c r="M53" s="254">
        <f t="shared" ca="1" si="13"/>
        <v>-510899.43875641661</v>
      </c>
      <c r="N53" s="285">
        <f ca="1">+L53+K53+M53</f>
        <v>-11874321.119281698</v>
      </c>
      <c r="P53" s="47"/>
    </row>
    <row r="54" spans="1:16">
      <c r="A54" s="217"/>
      <c r="B54" s="218">
        <f t="shared" si="11"/>
        <v>2040</v>
      </c>
      <c r="C54" s="257">
        <f t="shared" ca="1" si="15"/>
        <v>-11874321.119281698</v>
      </c>
      <c r="D54" s="257">
        <v>0</v>
      </c>
      <c r="E54" s="251">
        <f>SUMIF('Sanitary Debentures'!$D$12:$D$38,B54,'Sanitary Debentures'!$E$12:$E$38)</f>
        <v>966493.58</v>
      </c>
      <c r="F54" s="256">
        <f ca="1">OFFSET($L$16,0,B54-Assumptions!$B$3)</f>
        <v>0</v>
      </c>
      <c r="G54" s="223">
        <f>'Cost Recovery Timing'!R29</f>
        <v>28.58</v>
      </c>
      <c r="H54" s="224">
        <f>Assumptions!$B$23</f>
        <v>0.02</v>
      </c>
      <c r="I54" s="253">
        <f t="shared" si="17"/>
        <v>55445.122907177501</v>
      </c>
      <c r="J54" s="253">
        <f>(G54*I54*Assumptions!$B$28)+(G53*I53*Assumptions!$B$27)+(G52*I52*Assumptions!$B$26)</f>
        <v>1550687.1936841826</v>
      </c>
      <c r="K54" s="253">
        <f t="shared" ca="1" si="16"/>
        <v>-11290127.505597515</v>
      </c>
      <c r="L54" s="253">
        <f t="shared" ca="1" si="12"/>
        <v>0</v>
      </c>
      <c r="M54" s="254">
        <f t="shared" ca="1" si="13"/>
        <v>-507604.13265166426</v>
      </c>
      <c r="N54" s="285">
        <f t="shared" ref="N54" ca="1" si="19">+L54+K54+M54</f>
        <v>-11797731.638249179</v>
      </c>
      <c r="P54" s="47"/>
    </row>
    <row r="55" spans="1:16">
      <c r="A55" s="217"/>
      <c r="B55" s="218">
        <f>+B54+1</f>
        <v>2041</v>
      </c>
      <c r="C55" s="257">
        <f t="shared" ca="1" si="15"/>
        <v>-11797731.638249179</v>
      </c>
      <c r="D55" s="257">
        <v>0</v>
      </c>
      <c r="E55" s="251">
        <f>SUMIF('Sanitary Debentures'!$D$12:$D$38,B55,'Sanitary Debentures'!$E$12:$E$38)</f>
        <v>966493.58</v>
      </c>
      <c r="F55" s="256">
        <f ca="1">OFFSET($L$16,0,B55-Assumptions!$B$3)</f>
        <v>0</v>
      </c>
      <c r="G55" s="223">
        <f>'Cost Recovery Timing'!R30</f>
        <v>28.58</v>
      </c>
      <c r="H55" s="224">
        <f>Assumptions!$B$23</f>
        <v>0.02</v>
      </c>
      <c r="I55" s="253">
        <f t="shared" si="17"/>
        <v>56554.025365321053</v>
      </c>
      <c r="J55" s="253">
        <f>(G55*I55*Assumptions!$B$28)+(G54*I54*Assumptions!$B$27)+(G53*I53*Assumptions!$B$26)</f>
        <v>1581700.9375578663</v>
      </c>
      <c r="K55" s="253">
        <f t="shared" ca="1" si="16"/>
        <v>-11182524.280691313</v>
      </c>
      <c r="L55" s="253">
        <f t="shared" ca="1" si="12"/>
        <v>0</v>
      </c>
      <c r="M55" s="254">
        <f t="shared" ca="1" si="13"/>
        <v>-502766.29165988142</v>
      </c>
      <c r="N55" s="285">
        <f ca="1">+L55+K55+M55</f>
        <v>-11685290.572351195</v>
      </c>
      <c r="P55" s="47"/>
    </row>
    <row r="56" spans="1:16">
      <c r="A56" s="217"/>
      <c r="B56" s="218">
        <f>+B55+1</f>
        <v>2042</v>
      </c>
      <c r="C56" s="257">
        <f t="shared" ca="1" si="15"/>
        <v>-11685290.572351195</v>
      </c>
      <c r="D56" s="257">
        <v>0</v>
      </c>
      <c r="E56" s="251">
        <f>SUMIF('Sanitary Debentures'!$D$12:$D$38,B56,'Sanitary Debentures'!$E$12:$E$38)</f>
        <v>966493.58</v>
      </c>
      <c r="F56" s="256">
        <f ca="1">OFFSET($L$16,0,B56-Assumptions!$B$3)</f>
        <v>0</v>
      </c>
      <c r="G56" s="223">
        <f>'Cost Recovery Timing'!R31</f>
        <v>28.58</v>
      </c>
      <c r="H56" s="224">
        <f>Assumptions!$B$23</f>
        <v>0.02</v>
      </c>
      <c r="I56" s="253">
        <f t="shared" si="17"/>
        <v>57685.105872627471</v>
      </c>
      <c r="J56" s="253">
        <f>(G56*I56*Assumptions!$B$28)+(G55*I55*Assumptions!$B$27)+(G54*I54*Assumptions!$B$26)</f>
        <v>1613334.9563090238</v>
      </c>
      <c r="K56" s="253">
        <f t="shared" ca="1" si="16"/>
        <v>-11038449.196042171</v>
      </c>
      <c r="L56" s="253">
        <f t="shared" ca="1" si="12"/>
        <v>0</v>
      </c>
      <c r="M56" s="254">
        <f t="shared" ca="1" si="13"/>
        <v>-496288.67585405597</v>
      </c>
      <c r="N56" s="285">
        <f ca="1">+L56+K56+M56</f>
        <v>-11534737.871896226</v>
      </c>
      <c r="P56" s="47"/>
    </row>
    <row r="57" spans="1:16">
      <c r="A57" s="217"/>
      <c r="B57" s="218">
        <f t="shared" si="11"/>
        <v>2043</v>
      </c>
      <c r="C57" s="257">
        <f t="shared" ca="1" si="15"/>
        <v>-11534737.871896226</v>
      </c>
      <c r="D57" s="257">
        <v>0</v>
      </c>
      <c r="E57" s="251">
        <f>SUMIF('Sanitary Debentures'!$D$12:$D$38,B57,'Sanitary Debentures'!$E$12:$E$38)</f>
        <v>966493.58</v>
      </c>
      <c r="F57" s="256">
        <f ca="1">OFFSET($L$16,0,B57-Assumptions!$B$3)</f>
        <v>0</v>
      </c>
      <c r="G57" s="223">
        <f>'Cost Recovery Timing'!R32</f>
        <v>28.58</v>
      </c>
      <c r="H57" s="224">
        <f>Assumptions!$B$23</f>
        <v>0.02</v>
      </c>
      <c r="I57" s="253">
        <f t="shared" si="17"/>
        <v>58838.807990080022</v>
      </c>
      <c r="J57" s="253">
        <f>(G57*I57*Assumptions!$B$28)+(G56*I56*Assumptions!$B$27)+(G55*I55*Assumptions!$B$26)</f>
        <v>1645601.6554352043</v>
      </c>
      <c r="K57" s="253">
        <f t="shared" ca="1" si="16"/>
        <v>-10855629.796461022</v>
      </c>
      <c r="L57" s="253">
        <f t="shared" ca="1" si="12"/>
        <v>0</v>
      </c>
      <c r="M57" s="254">
        <f t="shared" ca="1" si="13"/>
        <v>-488069.11564888753</v>
      </c>
      <c r="N57" s="285">
        <f t="shared" ref="N57:N74" ca="1" si="20">+L57+K57+M57</f>
        <v>-11343698.91210991</v>
      </c>
      <c r="P57" s="47"/>
    </row>
    <row r="58" spans="1:16">
      <c r="A58" s="217"/>
      <c r="B58" s="218">
        <f>+B57+1</f>
        <v>2044</v>
      </c>
      <c r="C58" s="257">
        <f t="shared" ca="1" si="15"/>
        <v>-11343698.91210991</v>
      </c>
      <c r="D58" s="257">
        <v>0</v>
      </c>
      <c r="E58" s="251">
        <f>SUMIF('Sanitary Debentures'!$D$12:$D$38,B58,'Sanitary Debentures'!$E$12:$E$38)</f>
        <v>966493.58</v>
      </c>
      <c r="F58" s="256">
        <f ca="1">OFFSET($L$16,0,B58-Assumptions!$B$3)</f>
        <v>0</v>
      </c>
      <c r="G58" s="223">
        <f>'Cost Recovery Timing'!R33</f>
        <v>28.58</v>
      </c>
      <c r="H58" s="224">
        <f>Assumptions!$B$23</f>
        <v>0.02</v>
      </c>
      <c r="I58" s="253">
        <f t="shared" si="17"/>
        <v>60015.584149881623</v>
      </c>
      <c r="J58" s="253">
        <f>(G58*I58*Assumptions!$B$28)+(G57*I57*Assumptions!$B$27)+(G56*I56*Assumptions!$B$26)</f>
        <v>1678513.6885439083</v>
      </c>
      <c r="K58" s="253">
        <f t="shared" ca="1" si="16"/>
        <v>-10631678.803566001</v>
      </c>
      <c r="L58" s="253">
        <f t="shared" ca="1" si="12"/>
        <v>0</v>
      </c>
      <c r="M58" s="254">
        <f t="shared" ca="1" si="13"/>
        <v>-478000.2790083274</v>
      </c>
      <c r="N58" s="285">
        <f t="shared" ca="1" si="20"/>
        <v>-11109679.082574328</v>
      </c>
      <c r="P58" s="47"/>
    </row>
    <row r="59" spans="1:16">
      <c r="A59" s="217"/>
      <c r="B59" s="218">
        <f t="shared" si="11"/>
        <v>2045</v>
      </c>
      <c r="C59" s="257">
        <f t="shared" ca="1" si="15"/>
        <v>-11109679.082574328</v>
      </c>
      <c r="D59" s="257">
        <v>0</v>
      </c>
      <c r="E59" s="251">
        <f>SUMIF('Sanitary Debentures'!$D$12:$D$38,B59,'Sanitary Debentures'!$E$12:$E$38)</f>
        <v>377476.26</v>
      </c>
      <c r="F59" s="256">
        <f ca="1">OFFSET($L$16,0,B59-Assumptions!$B$3)</f>
        <v>0</v>
      </c>
      <c r="G59" s="223">
        <f>'Cost Recovery Timing'!R34</f>
        <v>28.58</v>
      </c>
      <c r="H59" s="224">
        <f>Assumptions!$B$23</f>
        <v>0.02</v>
      </c>
      <c r="I59" s="253">
        <f t="shared" si="17"/>
        <v>61215.895832879258</v>
      </c>
      <c r="J59" s="253">
        <f>(G59*I59*Assumptions!$B$28)+(G58*I58*Assumptions!$B$27)+(G57*I57*Assumptions!$B$26)</f>
        <v>1712083.9623147864</v>
      </c>
      <c r="K59" s="253">
        <f t="shared" ca="1" si="16"/>
        <v>-9775071.3802595418</v>
      </c>
      <c r="L59" s="253">
        <f t="shared" ca="1" si="12"/>
        <v>0</v>
      </c>
      <c r="M59" s="254">
        <f t="shared" ca="1" si="13"/>
        <v>-439487.20925646898</v>
      </c>
      <c r="N59" s="285">
        <f t="shared" ca="1" si="20"/>
        <v>-10214558.58951601</v>
      </c>
      <c r="P59" s="47"/>
    </row>
    <row r="60" spans="1:16">
      <c r="A60" s="217"/>
      <c r="B60" s="218">
        <f t="shared" si="11"/>
        <v>2046</v>
      </c>
      <c r="C60" s="257">
        <f t="shared" ca="1" si="15"/>
        <v>-10214558.58951601</v>
      </c>
      <c r="D60" s="257">
        <v>0</v>
      </c>
      <c r="E60" s="251">
        <f>SUMIF('Sanitary Debentures'!$D$12:$D$38,B60,'Sanitary Debentures'!$E$12:$E$38)</f>
        <v>377476.26</v>
      </c>
      <c r="F60" s="256">
        <f ca="1">OFFSET($L$16,0,B60-Assumptions!$B$3)</f>
        <v>0</v>
      </c>
      <c r="G60" s="223">
        <f>'Cost Recovery Timing'!R35</f>
        <v>28.58</v>
      </c>
      <c r="H60" s="224">
        <f>Assumptions!$B$23</f>
        <v>0.02</v>
      </c>
      <c r="I60" s="253">
        <f t="shared" si="17"/>
        <v>62440.213749536844</v>
      </c>
      <c r="J60" s="253">
        <f>(G60*I60*Assumptions!$B$28)+(G59*I59*Assumptions!$B$27)+(G58*I58*Assumptions!$B$26)</f>
        <v>1746325.6415610821</v>
      </c>
      <c r="K60" s="253">
        <f t="shared" ca="1" si="16"/>
        <v>-8845709.2079549283</v>
      </c>
      <c r="L60" s="253">
        <f t="shared" ca="1" si="12"/>
        <v>0</v>
      </c>
      <c r="M60" s="254">
        <f t="shared" ca="1" si="13"/>
        <v>-397703.0859896536</v>
      </c>
      <c r="N60" s="285">
        <f t="shared" ca="1" si="20"/>
        <v>-9243412.2939445823</v>
      </c>
      <c r="P60" s="47"/>
    </row>
    <row r="61" spans="1:16">
      <c r="A61" s="217"/>
      <c r="B61" s="218">
        <f t="shared" si="11"/>
        <v>2047</v>
      </c>
      <c r="C61" s="252">
        <f t="shared" ca="1" si="15"/>
        <v>-9243412.2939445823</v>
      </c>
      <c r="D61" s="257">
        <v>0</v>
      </c>
      <c r="E61" s="257">
        <v>0</v>
      </c>
      <c r="F61" s="256">
        <f ca="1">OFFSET($L$16,0,B61-Assumptions!$B$3)</f>
        <v>0</v>
      </c>
      <c r="G61" s="223">
        <f>'Cost Recovery Timing'!R36</f>
        <v>28.58</v>
      </c>
      <c r="H61" s="224">
        <f>Assumptions!$B$23</f>
        <v>0.02</v>
      </c>
      <c r="I61" s="253">
        <f t="shared" si="17"/>
        <v>63689.018024527584</v>
      </c>
      <c r="J61" s="253">
        <f>(G61*I61*Assumptions!$B$28)+(G60*I60*Assumptions!$B$27)+(G59*I59*Assumptions!$B$26)</f>
        <v>1781252.1543923039</v>
      </c>
      <c r="K61" s="253">
        <f t="shared" ca="1" si="16"/>
        <v>-7462160.1395522784</v>
      </c>
      <c r="L61" s="253">
        <f t="shared" ca="1" si="12"/>
        <v>0</v>
      </c>
      <c r="M61" s="254">
        <f t="shared" ca="1" si="13"/>
        <v>-335498.71987427043</v>
      </c>
      <c r="N61" s="285">
        <f t="shared" ca="1" si="20"/>
        <v>-7797658.8594265487</v>
      </c>
      <c r="P61" s="47"/>
    </row>
    <row r="62" spans="1:16">
      <c r="A62" s="217"/>
      <c r="B62" s="218">
        <f t="shared" si="11"/>
        <v>2048</v>
      </c>
      <c r="C62" s="252">
        <f t="shared" ca="1" si="15"/>
        <v>-7797658.8594265487</v>
      </c>
      <c r="D62" s="257">
        <v>0</v>
      </c>
      <c r="E62" s="257">
        <v>0</v>
      </c>
      <c r="F62" s="256">
        <f ca="1">OFFSET($L$16,0,B62-Assumptions!$B$3)</f>
        <v>0</v>
      </c>
      <c r="G62" s="223">
        <f>'Cost Recovery Timing'!R37</f>
        <v>28.58</v>
      </c>
      <c r="H62" s="224">
        <f>Assumptions!$B$23</f>
        <v>0.02</v>
      </c>
      <c r="I62" s="253">
        <f t="shared" si="17"/>
        <v>64962.798385018134</v>
      </c>
      <c r="J62" s="253">
        <f>(G62*I62*Assumptions!$B$28)+(G61*I61*Assumptions!$B$27)+(G60*I60*Assumptions!$B$26)</f>
        <v>1816877.19748015</v>
      </c>
      <c r="K62" s="253">
        <f t="shared" ca="1" si="16"/>
        <v>-5980781.6619463991</v>
      </c>
      <c r="L62" s="253">
        <f t="shared" ca="1" si="12"/>
        <v>0</v>
      </c>
      <c r="M62" s="254">
        <f t="shared" ca="1" si="13"/>
        <v>-268895.94352111011</v>
      </c>
      <c r="N62" s="285">
        <f t="shared" ca="1" si="20"/>
        <v>-6249677.6054675095</v>
      </c>
      <c r="P62" s="47"/>
    </row>
    <row r="63" spans="1:16">
      <c r="A63" s="217"/>
      <c r="B63" s="218">
        <f t="shared" si="11"/>
        <v>2049</v>
      </c>
      <c r="C63" s="252">
        <f t="shared" ca="1" si="15"/>
        <v>-6249677.6054675095</v>
      </c>
      <c r="D63" s="257">
        <v>0</v>
      </c>
      <c r="E63" s="257">
        <v>0</v>
      </c>
      <c r="F63" s="256">
        <f ca="1">OFFSET($L$16,0,B63-Assumptions!$B$3)</f>
        <v>0</v>
      </c>
      <c r="G63" s="223">
        <f>'Cost Recovery Timing'!R38</f>
        <v>28.58</v>
      </c>
      <c r="H63" s="224">
        <f>Assumptions!$B$23</f>
        <v>0.02</v>
      </c>
      <c r="I63" s="253">
        <f t="shared" si="17"/>
        <v>66262.054352718493</v>
      </c>
      <c r="J63" s="253">
        <f>(G63*I63*Assumptions!$B$28)+(G62*I62*Assumptions!$B$27)+(G61*I61*Assumptions!$B$26)</f>
        <v>1853214.7414297529</v>
      </c>
      <c r="K63" s="253">
        <f t="shared" ca="1" si="16"/>
        <v>-4396462.8640377568</v>
      </c>
      <c r="L63" s="253">
        <f t="shared" ca="1" si="12"/>
        <v>0</v>
      </c>
      <c r="M63" s="254">
        <f t="shared" ca="1" si="13"/>
        <v>-197664.97036713755</v>
      </c>
      <c r="N63" s="285">
        <f t="shared" ca="1" si="20"/>
        <v>-4594127.8344048942</v>
      </c>
      <c r="P63" s="47"/>
    </row>
    <row r="64" spans="1:16">
      <c r="A64" s="217"/>
      <c r="B64" s="218">
        <f t="shared" si="11"/>
        <v>2050</v>
      </c>
      <c r="C64" s="252">
        <f t="shared" ca="1" si="15"/>
        <v>-4594127.8344048942</v>
      </c>
      <c r="D64" s="257">
        <v>0</v>
      </c>
      <c r="E64" s="257">
        <v>0</v>
      </c>
      <c r="F64" s="256">
        <f ca="1">OFFSET($L$16,0,B64-Assumptions!$B$3)</f>
        <v>0</v>
      </c>
      <c r="G64" s="223">
        <f>'Cost Recovery Timing'!R39</f>
        <v>28.58</v>
      </c>
      <c r="H64" s="224">
        <f>Assumptions!$B$23</f>
        <v>0.02</v>
      </c>
      <c r="I64" s="253">
        <f t="shared" si="17"/>
        <v>67587.295439772861</v>
      </c>
      <c r="J64" s="253">
        <f>(G64*I64*Assumptions!$B$28)+(G63*I63*Assumptions!$B$27)+(G62*I62*Assumptions!$B$26)</f>
        <v>1890279.0362583478</v>
      </c>
      <c r="K64" s="253">
        <f t="shared" ca="1" si="16"/>
        <v>-2703848.7981465464</v>
      </c>
      <c r="L64" s="253">
        <f t="shared" ca="1" si="12"/>
        <v>0</v>
      </c>
      <c r="M64" s="254">
        <f t="shared" ca="1" si="13"/>
        <v>-121565.04196466872</v>
      </c>
      <c r="N64" s="285">
        <f t="shared" ca="1" si="20"/>
        <v>-2825413.8401112151</v>
      </c>
      <c r="P64" s="47"/>
    </row>
    <row r="65" spans="1:17">
      <c r="A65" s="314" t="s">
        <v>226</v>
      </c>
      <c r="B65" s="293">
        <f t="shared" si="11"/>
        <v>2051</v>
      </c>
      <c r="C65" s="296">
        <f t="shared" ca="1" si="15"/>
        <v>-2825413.8401112151</v>
      </c>
      <c r="D65" s="315">
        <v>0</v>
      </c>
      <c r="E65" s="315">
        <v>0</v>
      </c>
      <c r="F65" s="316">
        <f ca="1">OFFSET($L$16,0,B65-Assumptions!$B$3)</f>
        <v>0</v>
      </c>
      <c r="G65" s="227">
        <f>'Cost Recovery Timing'!R40</f>
        <v>11.395542930923057</v>
      </c>
      <c r="H65" s="228">
        <f>Assumptions!$B$23</f>
        <v>0.02</v>
      </c>
      <c r="I65" s="297">
        <f t="shared" si="17"/>
        <v>68939.041348568324</v>
      </c>
      <c r="J65" s="297">
        <f>(G65*I65*Assumptions!$B$28)+(G64*I64*Assumptions!$B$27)+(G63*I63*Assumptions!$B$26)</f>
        <v>1572680.6180521771</v>
      </c>
      <c r="K65" s="297">
        <f t="shared" ca="1" si="16"/>
        <v>-1252733.222059038</v>
      </c>
      <c r="L65" s="297">
        <f t="shared" ca="1" si="12"/>
        <v>0</v>
      </c>
      <c r="M65" s="301">
        <f t="shared" ca="1" si="13"/>
        <v>-56322.885663774352</v>
      </c>
      <c r="N65" s="302">
        <f t="shared" ca="1" si="20"/>
        <v>-1309056.1077228123</v>
      </c>
      <c r="P65" s="47"/>
    </row>
    <row r="66" spans="1:17" ht="15" customHeight="1">
      <c r="A66" s="217"/>
      <c r="B66" s="218">
        <f t="shared" si="11"/>
        <v>2052</v>
      </c>
      <c r="C66" s="252">
        <f t="shared" ca="1" si="15"/>
        <v>-1309056.1077228123</v>
      </c>
      <c r="D66" s="257">
        <v>0</v>
      </c>
      <c r="E66" s="257">
        <v>0</v>
      </c>
      <c r="F66" s="256">
        <f ca="1">OFFSET($L$16,0,B66-Assumptions!$B$3)</f>
        <v>0</v>
      </c>
      <c r="G66" s="223">
        <f>'Cost Recovery Timing'!R41</f>
        <v>0</v>
      </c>
      <c r="H66" s="224">
        <f>Assumptions!$B$23</f>
        <v>0.02</v>
      </c>
      <c r="I66" s="253">
        <f t="shared" si="17"/>
        <v>0</v>
      </c>
      <c r="J66" s="253">
        <f>(G66*I66*Assumptions!$B$28)+(G65*I65*Assumptions!$B$27)+(G64*I64*Assumptions!$B$26)</f>
        <v>1008337.3030587703</v>
      </c>
      <c r="K66" s="253">
        <f t="shared" ca="1" si="16"/>
        <v>-300718.80466404208</v>
      </c>
      <c r="L66" s="255">
        <f t="shared" ref="L66:L74" ca="1" si="21">IF(K66&lt;0,0,+K66*$L$32)</f>
        <v>0</v>
      </c>
      <c r="M66" s="254">
        <f t="shared" ref="M66:M74" ca="1" si="22">IF(K66&lt;0,+K66*$M$32,0)</f>
        <v>-13520.317457695332</v>
      </c>
      <c r="N66" s="633">
        <f t="shared" ca="1" si="20"/>
        <v>-314239.1221217374</v>
      </c>
      <c r="O66" s="781" t="s">
        <v>325</v>
      </c>
      <c r="P66" s="782"/>
      <c r="Q66" s="782"/>
    </row>
    <row r="67" spans="1:17">
      <c r="A67" s="193"/>
      <c r="B67" s="218">
        <f t="shared" si="11"/>
        <v>2053</v>
      </c>
      <c r="C67" s="252">
        <f t="shared" ca="1" si="15"/>
        <v>-314239.1221217374</v>
      </c>
      <c r="D67" s="257">
        <v>0</v>
      </c>
      <c r="E67" s="257">
        <v>0</v>
      </c>
      <c r="F67" s="256">
        <f ca="1">OFFSET($L$16,0,B67-Assumptions!$B$3)</f>
        <v>0</v>
      </c>
      <c r="G67" s="223">
        <f>'Cost Recovery Timing'!R42</f>
        <v>0</v>
      </c>
      <c r="H67" s="224">
        <f>Assumptions!$B$23</f>
        <v>0.02</v>
      </c>
      <c r="I67" s="253">
        <f t="shared" si="17"/>
        <v>0</v>
      </c>
      <c r="J67" s="253">
        <f>(G67*I67*Assumptions!$B$28)+(G66*I66*Assumptions!$B$27)+(G65*I65*Assumptions!$B$26)</f>
        <v>314239.12212171603</v>
      </c>
      <c r="K67" s="253">
        <f t="shared" ca="1" si="16"/>
        <v>-2.1362211555242538E-8</v>
      </c>
      <c r="L67" s="255">
        <f t="shared" ca="1" si="21"/>
        <v>0</v>
      </c>
      <c r="M67" s="254">
        <f t="shared" ca="1" si="22"/>
        <v>-9.6044503152370444E-10</v>
      </c>
      <c r="N67" s="633">
        <f t="shared" ca="1" si="20"/>
        <v>-2.2322656586766242E-8</v>
      </c>
      <c r="O67" s="781"/>
      <c r="P67" s="782"/>
      <c r="Q67" s="782"/>
    </row>
    <row r="68" spans="1:17">
      <c r="A68" s="193"/>
      <c r="B68" s="218">
        <f t="shared" si="11"/>
        <v>2054</v>
      </c>
      <c r="C68" s="252">
        <f t="shared" ca="1" si="15"/>
        <v>-2.2322656586766242E-8</v>
      </c>
      <c r="D68" s="257">
        <v>0</v>
      </c>
      <c r="E68" s="257">
        <v>0</v>
      </c>
      <c r="F68" s="256">
        <f ca="1">OFFSET($L$16,0,B68-Assumptions!$B$3)</f>
        <v>0</v>
      </c>
      <c r="G68" s="223">
        <f>'Cost Recovery Timing'!R43</f>
        <v>0</v>
      </c>
      <c r="H68" s="224">
        <f>Assumptions!$B$23</f>
        <v>0.02</v>
      </c>
      <c r="I68" s="253">
        <f t="shared" si="17"/>
        <v>0</v>
      </c>
      <c r="J68" s="253">
        <f>(G68*I68*Assumptions!$B$28)+(G67*I67*Assumptions!$B$27)+(G66*I66*Assumptions!$B$26)</f>
        <v>0</v>
      </c>
      <c r="K68" s="253">
        <f t="shared" ca="1" si="16"/>
        <v>-2.2322656586766242E-8</v>
      </c>
      <c r="L68" s="255">
        <f t="shared" ca="1" si="21"/>
        <v>0</v>
      </c>
      <c r="M68" s="254">
        <f t="shared" ca="1" si="22"/>
        <v>-1.0036266401410102E-9</v>
      </c>
      <c r="N68" s="285">
        <f t="shared" ca="1" si="20"/>
        <v>-2.3326283226907253E-8</v>
      </c>
      <c r="O68" s="781"/>
      <c r="P68" s="782"/>
      <c r="Q68" s="782"/>
    </row>
    <row r="69" spans="1:17">
      <c r="A69" s="193"/>
      <c r="B69" s="218">
        <f t="shared" si="11"/>
        <v>2055</v>
      </c>
      <c r="C69" s="252">
        <f t="shared" ca="1" si="15"/>
        <v>-2.3326283226907253E-8</v>
      </c>
      <c r="D69" s="257">
        <v>0</v>
      </c>
      <c r="E69" s="257">
        <v>0</v>
      </c>
      <c r="F69" s="256">
        <f ca="1">OFFSET($L$16,0,B69-Assumptions!$B$3)</f>
        <v>0</v>
      </c>
      <c r="G69" s="223">
        <f>'Cost Recovery Timing'!R44</f>
        <v>0</v>
      </c>
      <c r="H69" s="224">
        <f>Assumptions!$B$23</f>
        <v>0.02</v>
      </c>
      <c r="I69" s="253">
        <f t="shared" si="17"/>
        <v>0</v>
      </c>
      <c r="J69" s="253">
        <f>(G69*I69*Assumptions!$B$28)+(G68*I68*Assumptions!$B$27)+(G67*I67*Assumptions!$B$26)</f>
        <v>0</v>
      </c>
      <c r="K69" s="253">
        <f t="shared" ca="1" si="16"/>
        <v>-2.3326283226907253E-8</v>
      </c>
      <c r="L69" s="255">
        <f t="shared" ca="1" si="21"/>
        <v>0</v>
      </c>
      <c r="M69" s="254">
        <f t="shared" ca="1" si="22"/>
        <v>-1.0487496938817502E-9</v>
      </c>
      <c r="N69" s="285">
        <f t="shared" ca="1" si="20"/>
        <v>-2.4375032920789005E-8</v>
      </c>
    </row>
    <row r="70" spans="1:17">
      <c r="A70" s="193"/>
      <c r="B70" s="218">
        <f t="shared" si="11"/>
        <v>2056</v>
      </c>
      <c r="C70" s="252">
        <f t="shared" ca="1" si="15"/>
        <v>-2.4375032920789005E-8</v>
      </c>
      <c r="D70" s="257">
        <v>0</v>
      </c>
      <c r="E70" s="257">
        <v>0</v>
      </c>
      <c r="F70" s="256">
        <f ca="1">OFFSET($L$16,0,B70-Assumptions!$B$3)</f>
        <v>0</v>
      </c>
      <c r="G70" s="223">
        <f>'Cost Recovery Timing'!R45</f>
        <v>0</v>
      </c>
      <c r="H70" s="224">
        <f>Assumptions!$B$23</f>
        <v>0.02</v>
      </c>
      <c r="I70" s="253">
        <f t="shared" si="17"/>
        <v>0</v>
      </c>
      <c r="J70" s="253">
        <f>(G70*I70*Assumptions!$B$28)+(G69*I69*Assumptions!$B$27)+(G68*I68*Assumptions!$B$26)</f>
        <v>0</v>
      </c>
      <c r="K70" s="253">
        <f t="shared" ca="1" si="16"/>
        <v>-2.4375032920789005E-8</v>
      </c>
      <c r="L70" s="255">
        <f t="shared" ca="1" si="21"/>
        <v>0</v>
      </c>
      <c r="M70" s="254">
        <f t="shared" ca="1" si="22"/>
        <v>-1.0959014801186736E-9</v>
      </c>
      <c r="N70" s="285">
        <f t="shared" ca="1" si="20"/>
        <v>-2.5470934400907678E-8</v>
      </c>
    </row>
    <row r="71" spans="1:17">
      <c r="A71" s="193"/>
      <c r="B71" s="218">
        <f t="shared" si="11"/>
        <v>2057</v>
      </c>
      <c r="C71" s="252">
        <f t="shared" ca="1" si="15"/>
        <v>-2.5470934400907678E-8</v>
      </c>
      <c r="D71" s="257">
        <v>0</v>
      </c>
      <c r="E71" s="257">
        <v>0</v>
      </c>
      <c r="F71" s="256">
        <f ca="1">OFFSET($L$16,0,B71-Assumptions!$B$3)</f>
        <v>0</v>
      </c>
      <c r="G71" s="223">
        <f>'Cost Recovery Timing'!R46</f>
        <v>0</v>
      </c>
      <c r="H71" s="224">
        <f>Assumptions!$B$23</f>
        <v>0.02</v>
      </c>
      <c r="I71" s="253">
        <f t="shared" si="17"/>
        <v>0</v>
      </c>
      <c r="J71" s="253">
        <f>(G71*I71*Assumptions!$B$28)+(G70*I70*Assumptions!$B$27)+(G69*I69*Assumptions!$B$26)</f>
        <v>0</v>
      </c>
      <c r="K71" s="253">
        <f t="shared" ca="1" si="16"/>
        <v>-2.5470934400907678E-8</v>
      </c>
      <c r="L71" s="255">
        <f t="shared" ca="1" si="21"/>
        <v>0</v>
      </c>
      <c r="M71" s="254">
        <f t="shared" ca="1" si="22"/>
        <v>-1.1451732106648091E-9</v>
      </c>
      <c r="N71" s="285">
        <f t="shared" ca="1" si="20"/>
        <v>-2.6616107611572488E-8</v>
      </c>
    </row>
    <row r="72" spans="1:17">
      <c r="A72" s="193"/>
      <c r="B72" s="218">
        <f t="shared" si="11"/>
        <v>2058</v>
      </c>
      <c r="C72" s="252">
        <f t="shared" ca="1" si="15"/>
        <v>-2.6616107611572488E-8</v>
      </c>
      <c r="D72" s="257">
        <v>0</v>
      </c>
      <c r="E72" s="257">
        <v>0</v>
      </c>
      <c r="F72" s="256">
        <f ca="1">OFFSET($L$16,0,B72-Assumptions!$B$3)</f>
        <v>0</v>
      </c>
      <c r="G72" s="223">
        <f>'Cost Recovery Timing'!R47</f>
        <v>0</v>
      </c>
      <c r="H72" s="224">
        <f>Assumptions!$B$23</f>
        <v>0.02</v>
      </c>
      <c r="I72" s="253">
        <f t="shared" si="17"/>
        <v>0</v>
      </c>
      <c r="J72" s="253">
        <f>(G72*I72*Assumptions!$B$28)+(G71*I71*Assumptions!$B$27)+(G70*I70*Assumptions!$B$26)</f>
        <v>0</v>
      </c>
      <c r="K72" s="253">
        <f t="shared" ca="1" si="16"/>
        <v>-2.6616107611572488E-8</v>
      </c>
      <c r="L72" s="255">
        <f t="shared" ca="1" si="21"/>
        <v>0</v>
      </c>
      <c r="M72" s="254">
        <f t="shared" ca="1" si="22"/>
        <v>-1.1966601982162991E-9</v>
      </c>
      <c r="N72" s="285">
        <f t="shared" ca="1" si="20"/>
        <v>-2.7812767809788787E-8</v>
      </c>
    </row>
    <row r="73" spans="1:17">
      <c r="A73" s="193"/>
      <c r="B73" s="218">
        <f t="shared" si="11"/>
        <v>2059</v>
      </c>
      <c r="C73" s="252">
        <f t="shared" ca="1" si="15"/>
        <v>-2.7812767809788787E-8</v>
      </c>
      <c r="D73" s="257">
        <v>0</v>
      </c>
      <c r="E73" s="257">
        <v>0</v>
      </c>
      <c r="F73" s="256">
        <f ca="1">OFFSET($L$16,0,B73-Assumptions!$B$3)</f>
        <v>0</v>
      </c>
      <c r="G73" s="223">
        <f>'Cost Recovery Timing'!R48</f>
        <v>0</v>
      </c>
      <c r="H73" s="224">
        <f>Assumptions!$B$23</f>
        <v>0.02</v>
      </c>
      <c r="I73" s="253">
        <f t="shared" si="17"/>
        <v>0</v>
      </c>
      <c r="J73" s="253">
        <f>(G73*I73*Assumptions!$B$28)+(G72*I72*Assumptions!$B$27)+(G71*I71*Assumptions!$B$26)</f>
        <v>0</v>
      </c>
      <c r="K73" s="253">
        <f t="shared" ca="1" si="16"/>
        <v>-2.7812767809788787E-8</v>
      </c>
      <c r="L73" s="255">
        <f t="shared" ca="1" si="21"/>
        <v>0</v>
      </c>
      <c r="M73" s="254">
        <f t="shared" ca="1" si="22"/>
        <v>-1.2504620407281038E-9</v>
      </c>
      <c r="N73" s="285">
        <f t="shared" ca="1" si="20"/>
        <v>-2.906322985051689E-8</v>
      </c>
    </row>
    <row r="74" spans="1:17" ht="15" thickBot="1">
      <c r="A74" s="193"/>
      <c r="B74" s="221">
        <f t="shared" si="11"/>
        <v>2060</v>
      </c>
      <c r="C74" s="258">
        <f t="shared" ca="1" si="15"/>
        <v>-2.906322985051689E-8</v>
      </c>
      <c r="D74" s="313">
        <v>0</v>
      </c>
      <c r="E74" s="313">
        <v>0</v>
      </c>
      <c r="F74" s="259">
        <f ca="1">OFFSET($L$16,0,B74-Assumptions!$B$3)</f>
        <v>0</v>
      </c>
      <c r="G74" s="229">
        <f>'Cost Recovery Timing'!R49</f>
        <v>0</v>
      </c>
      <c r="H74" s="230">
        <f>Assumptions!$B$23</f>
        <v>0.02</v>
      </c>
      <c r="I74" s="283">
        <f t="shared" si="17"/>
        <v>0</v>
      </c>
      <c r="J74" s="283">
        <f>(G74*I74*Assumptions!$B$28)+(G73*I73*Assumptions!$B$27)+(G72*I72*Assumptions!$B$26)</f>
        <v>0</v>
      </c>
      <c r="K74" s="283">
        <f t="shared" ca="1" si="16"/>
        <v>-2.906322985051689E-8</v>
      </c>
      <c r="L74" s="284">
        <f t="shared" ca="1" si="21"/>
        <v>0</v>
      </c>
      <c r="M74" s="286">
        <f t="shared" ca="1" si="22"/>
        <v>-1.3066828140792393E-9</v>
      </c>
      <c r="N74" s="287">
        <f t="shared" ca="1" si="20"/>
        <v>-3.0369912664596131E-8</v>
      </c>
    </row>
    <row r="75" spans="1:17">
      <c r="B75" s="113"/>
      <c r="C75" s="115"/>
      <c r="D75" s="116"/>
      <c r="E75" s="117"/>
      <c r="F75" s="118"/>
      <c r="G75" s="116"/>
      <c r="H75" s="116"/>
      <c r="I75" s="119"/>
      <c r="J75" s="119"/>
      <c r="K75" s="120"/>
      <c r="L75" s="121"/>
    </row>
    <row r="76" spans="1:17">
      <c r="B76" s="113"/>
      <c r="C76" s="115"/>
      <c r="D76" s="116"/>
      <c r="E76" s="117"/>
      <c r="F76" s="118"/>
      <c r="G76" s="116"/>
      <c r="H76" s="116"/>
      <c r="I76" s="119"/>
      <c r="J76" s="119"/>
      <c r="K76" s="120"/>
      <c r="L76" s="121"/>
    </row>
    <row r="77" spans="1:17">
      <c r="B77" s="113"/>
      <c r="C77" s="115"/>
      <c r="D77" s="116"/>
      <c r="E77" s="222"/>
      <c r="F77" s="118"/>
      <c r="G77" s="116"/>
      <c r="H77" s="116"/>
      <c r="I77" s="119"/>
      <c r="J77" s="119"/>
      <c r="K77" s="120"/>
      <c r="L77" s="121"/>
    </row>
    <row r="78" spans="1:17">
      <c r="B78" s="113"/>
      <c r="C78" s="115"/>
      <c r="D78" s="116"/>
      <c r="E78" s="117"/>
      <c r="F78" s="118"/>
      <c r="G78" s="116"/>
      <c r="H78" s="116"/>
      <c r="I78" s="119"/>
      <c r="J78" s="119"/>
      <c r="K78" s="120"/>
      <c r="L78" s="121"/>
    </row>
    <row r="79" spans="1:17">
      <c r="B79" s="113"/>
      <c r="C79" s="115"/>
      <c r="D79" s="116"/>
      <c r="E79" s="117"/>
      <c r="F79" s="118"/>
      <c r="G79" s="116"/>
      <c r="H79" s="116"/>
      <c r="I79" s="119"/>
      <c r="J79" s="119"/>
      <c r="K79" s="120"/>
      <c r="L79" s="121"/>
    </row>
    <row r="80" spans="1:17">
      <c r="B80" s="113"/>
      <c r="C80" s="115"/>
      <c r="D80" s="116"/>
      <c r="E80" s="117"/>
      <c r="F80" s="118"/>
      <c r="G80" s="116"/>
      <c r="H80" s="116"/>
      <c r="I80" s="119"/>
      <c r="J80" s="119"/>
      <c r="K80" s="120"/>
      <c r="L80" s="121"/>
    </row>
    <row r="81" spans="2:12">
      <c r="B81" s="113"/>
      <c r="C81" s="115"/>
      <c r="D81" s="116"/>
      <c r="E81" s="117"/>
      <c r="F81" s="118"/>
      <c r="G81" s="116"/>
      <c r="H81" s="116"/>
      <c r="I81" s="119"/>
      <c r="J81" s="119"/>
      <c r="K81" s="120"/>
      <c r="L81" s="121"/>
    </row>
    <row r="82" spans="2:12">
      <c r="B82" s="113"/>
      <c r="C82" s="115"/>
      <c r="D82" s="116"/>
      <c r="E82" s="117"/>
      <c r="F82" s="118"/>
      <c r="G82" s="116"/>
      <c r="H82" s="116"/>
      <c r="I82" s="119"/>
      <c r="J82" s="119"/>
      <c r="K82" s="120"/>
      <c r="L82" s="121"/>
    </row>
    <row r="83" spans="2:12">
      <c r="B83" s="113"/>
      <c r="C83" s="115"/>
      <c r="D83" s="116"/>
      <c r="E83" s="117"/>
      <c r="F83" s="118"/>
      <c r="G83" s="116"/>
      <c r="H83" s="116"/>
      <c r="I83" s="119"/>
      <c r="J83" s="119"/>
      <c r="K83" s="120"/>
      <c r="L83" s="121"/>
    </row>
    <row r="84" spans="2:12">
      <c r="B84" s="113"/>
      <c r="C84" s="115"/>
      <c r="D84" s="116"/>
      <c r="E84" s="117"/>
      <c r="F84" s="118"/>
      <c r="G84" s="116"/>
      <c r="H84" s="116"/>
      <c r="I84" s="119"/>
      <c r="J84" s="119"/>
      <c r="K84" s="120"/>
      <c r="L84" s="121"/>
    </row>
    <row r="85" spans="2:12">
      <c r="B85" s="113"/>
      <c r="C85" s="115"/>
      <c r="D85" s="116"/>
      <c r="E85" s="117"/>
      <c r="F85" s="118"/>
      <c r="G85" s="116"/>
      <c r="H85" s="116"/>
      <c r="I85" s="119"/>
      <c r="J85" s="119"/>
      <c r="K85" s="120"/>
      <c r="L85" s="121"/>
    </row>
  </sheetData>
  <dataConsolidate/>
  <mergeCells count="26">
    <mergeCell ref="A28:A33"/>
    <mergeCell ref="B3:J3"/>
    <mergeCell ref="B4:J4"/>
    <mergeCell ref="B5:J5"/>
    <mergeCell ref="A8:A10"/>
    <mergeCell ref="B8:B10"/>
    <mergeCell ref="C8:E8"/>
    <mergeCell ref="F8:F9"/>
    <mergeCell ref="I8:I10"/>
    <mergeCell ref="J8:J10"/>
    <mergeCell ref="E28:E30"/>
    <mergeCell ref="F28:F30"/>
    <mergeCell ref="J28:J30"/>
    <mergeCell ref="K8:K9"/>
    <mergeCell ref="C9:C10"/>
    <mergeCell ref="D9:D10"/>
    <mergeCell ref="E9:E10"/>
    <mergeCell ref="K28:K30"/>
    <mergeCell ref="O66:Q68"/>
    <mergeCell ref="L28:M28"/>
    <mergeCell ref="C28:C33"/>
    <mergeCell ref="H28:H31"/>
    <mergeCell ref="G28:G31"/>
    <mergeCell ref="D28:D31"/>
    <mergeCell ref="N28:N32"/>
    <mergeCell ref="L29:M29"/>
  </mergeCells>
  <pageMargins left="0.7" right="0.7" top="0.75" bottom="0.75" header="0.3" footer="0.3"/>
  <pageSetup orientation="portrait" r:id="rId1"/>
  <tableParts count="1">
    <tablePart r:id="rId2"/>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2412B8-7C05-41DE-90F6-EE6C23686ADE}">
  <sheetPr codeName="Sheet48">
    <tabColor rgb="FFFF7C80"/>
    <pageSetUpPr fitToPage="1"/>
  </sheetPr>
  <dimension ref="B1:Q73"/>
  <sheetViews>
    <sheetView showGridLines="0" topLeftCell="C1" workbookViewId="0">
      <selection activeCell="M44" sqref="M44"/>
    </sheetView>
  </sheetViews>
  <sheetFormatPr defaultColWidth="9.109375" defaultRowHeight="12"/>
  <cols>
    <col min="1" max="1" width="9.109375" style="65"/>
    <col min="2" max="2" width="14.109375" style="65" customWidth="1"/>
    <col min="3" max="3" width="101.5546875" style="65" customWidth="1"/>
    <col min="4" max="4" width="21.5546875" style="65" customWidth="1"/>
    <col min="5" max="5" width="15.44140625" style="65" customWidth="1"/>
    <col min="6" max="6" width="14.21875" style="65" customWidth="1"/>
    <col min="7" max="7" width="11.109375" style="65" customWidth="1"/>
    <col min="8" max="8" width="17.21875" style="65" customWidth="1"/>
    <col min="9" max="10" width="16.21875" style="65" customWidth="1"/>
    <col min="11" max="11" width="21.44140625" style="65" customWidth="1"/>
    <col min="12" max="13" width="21.5546875" style="65" customWidth="1"/>
    <col min="14" max="14" width="22.88671875" style="65" hidden="1" customWidth="1"/>
    <col min="15" max="16" width="21.5546875" style="65" customWidth="1"/>
    <col min="17" max="17" width="11.5546875" style="65" bestFit="1" customWidth="1"/>
    <col min="18" max="16384" width="9.109375" style="65"/>
  </cols>
  <sheetData>
    <row r="1" spans="2:17">
      <c r="B1" s="67"/>
    </row>
    <row r="2" spans="2:17">
      <c r="B2" s="67"/>
      <c r="F2" s="66"/>
      <c r="H2" s="78"/>
      <c r="L2" s="70"/>
    </row>
    <row r="3" spans="2:17" ht="32.25" customHeight="1" thickBot="1">
      <c r="B3" s="77" t="s">
        <v>182</v>
      </c>
    </row>
    <row r="4" spans="2:17" s="68" customFormat="1" ht="23.25" customHeight="1" thickBot="1">
      <c r="B4" s="777" t="s">
        <v>31</v>
      </c>
      <c r="C4" s="778"/>
      <c r="D4" s="779" t="s">
        <v>96</v>
      </c>
      <c r="E4" s="778"/>
      <c r="F4" s="779" t="s">
        <v>2</v>
      </c>
      <c r="G4" s="778"/>
      <c r="H4" s="779" t="s">
        <v>52</v>
      </c>
      <c r="I4" s="778"/>
      <c r="J4" s="779" t="s">
        <v>53</v>
      </c>
      <c r="K4" s="778"/>
      <c r="L4" s="775" t="s">
        <v>126</v>
      </c>
      <c r="M4" s="805"/>
      <c r="N4" s="562" t="s">
        <v>97</v>
      </c>
      <c r="O4" s="563"/>
      <c r="P4"/>
    </row>
    <row r="5" spans="2:17" s="68" customFormat="1" ht="23.25" customHeight="1">
      <c r="B5" s="564" t="s">
        <v>56</v>
      </c>
      <c r="C5" s="565" t="s">
        <v>57</v>
      </c>
      <c r="D5" s="566" t="s">
        <v>91</v>
      </c>
      <c r="E5" s="566" t="s">
        <v>92</v>
      </c>
      <c r="F5" s="566" t="s">
        <v>4</v>
      </c>
      <c r="G5" s="566" t="s">
        <v>5</v>
      </c>
      <c r="H5" s="567" t="s">
        <v>50</v>
      </c>
      <c r="I5" s="567" t="s">
        <v>51</v>
      </c>
      <c r="J5" s="567" t="s">
        <v>152</v>
      </c>
      <c r="K5" s="567" t="s">
        <v>154</v>
      </c>
      <c r="L5" s="568" t="s">
        <v>54</v>
      </c>
      <c r="M5" s="566" t="s">
        <v>55</v>
      </c>
      <c r="N5" s="566"/>
      <c r="O5" s="569" t="s">
        <v>87</v>
      </c>
      <c r="P5"/>
    </row>
    <row r="6" spans="2:17" s="68" customFormat="1" ht="23.25" customHeight="1">
      <c r="B6" s="359" t="s">
        <v>98</v>
      </c>
      <c r="C6" s="360" t="str">
        <f>INDEX('Project List '!$C$6:$C$44, MATCH('S-Collection'!B6,'Project List '!$B$6:$B$44,0))</f>
        <v>525 mm Gravity Sewer North Railway Trunk Upgrade (North Railway Street Bend - Fisher Gate)</v>
      </c>
      <c r="D6" s="361" t="str">
        <f>INDEX('Project List '!$E$6:$E$44, MATCH(B6,'Project List '!$B$6:$B$44,0))</f>
        <v>Town</v>
      </c>
      <c r="E6" s="361" t="str">
        <f>INDEX('Project List '!$F$6:$F$44, MATCH(B6,'Project List '!$B$6:$B$44,0))</f>
        <v>OSL</v>
      </c>
      <c r="F6" s="361">
        <f>INDEX('Project List '!$G$6:$G$44, MATCH(B6,'Project List '!$B$6:$B$44,0))</f>
        <v>2026</v>
      </c>
      <c r="G6" s="361">
        <f>INDEX('Project List '!$H$6:$H$44, MATCH(B6,'Project List '!$B$6:$B$44,0))</f>
        <v>2026</v>
      </c>
      <c r="H6" s="362">
        <f>INDEX('Project List '!$I$6:$I$44, MATCH(B6,'Project List '!$B$6:$B$44,0))</f>
        <v>1</v>
      </c>
      <c r="I6" s="362">
        <f>INDEX('Project List '!$J$6:$J$44, MATCH(B6,'Project List '!$B$6:$B$44,0))</f>
        <v>0</v>
      </c>
      <c r="J6" s="667">
        <f>INDEX('Project List '!$X$6:$X$44, MATCH(B6,'Project List '!$B$6:$B$44,0))</f>
        <v>5919048</v>
      </c>
      <c r="K6" s="667">
        <f>INDEX('Project List '!$AF$6:$AF$44, MATCH(B6,'Project List '!$B$6:$B$44,0))</f>
        <v>2267196</v>
      </c>
      <c r="L6" s="667">
        <f>INDEX('Project List '!$AI$6:$AI$44, MATCH(B6,'Project List '!$B$6:$B$44,0))</f>
        <v>2267196</v>
      </c>
      <c r="M6" s="363">
        <f>INDEX('Project List '!$AJ$6:$AJ$44, MATCH(B6,'Project List '!$B$6:$B$44,0))</f>
        <v>0</v>
      </c>
      <c r="N6" s="363" t="e">
        <f>INDEX('Project List '!$AJ$6:$AJ$44, MATCH(C6,'Project List '!$B$6:$B$44,0))</f>
        <v>#N/A</v>
      </c>
      <c r="O6" s="570">
        <f>INDEX('Project List '!$AL$6:$AL$44, MATCH(B6,'Project List '!$B$6:$B$44,0))</f>
        <v>0</v>
      </c>
      <c r="P6"/>
      <c r="Q6" s="128"/>
    </row>
    <row r="7" spans="2:17" s="68" customFormat="1" ht="23.25" customHeight="1">
      <c r="B7" s="359">
        <v>15</v>
      </c>
      <c r="C7" s="360" t="str">
        <f>INDEX('Project List '!$C$6:$C$44, MATCH('S-Collection'!B7,'Project List '!$B$6:$B$44,0))</f>
        <v>1050 mm Gravity Sewer (Crystal Shores Road to Crystal Green Lane)</v>
      </c>
      <c r="D7" s="361" t="str">
        <f>INDEX('Project List '!$E$6:$E$44, MATCH(B7,'Project List '!$B$6:$B$44,0))</f>
        <v>Town</v>
      </c>
      <c r="E7" s="361" t="str">
        <f>INDEX('Project List '!$F$6:$F$44, MATCH(B7,'Project List '!$B$6:$B$44,0))</f>
        <v>OSL</v>
      </c>
      <c r="F7" s="361">
        <f>INDEX('Project List '!$G$6:$G$44, MATCH(B7,'Project List '!$B$6:$B$44,0))</f>
        <v>2026</v>
      </c>
      <c r="G7" s="361">
        <f>INDEX('Project List '!$H$6:$H$44, MATCH(B7,'Project List '!$B$6:$B$44,0))</f>
        <v>2027</v>
      </c>
      <c r="H7" s="362">
        <f>INDEX('Project List '!$I$6:$I$44, MATCH(B7,'Project List '!$B$6:$B$44,0))</f>
        <v>1</v>
      </c>
      <c r="I7" s="362">
        <f>INDEX('Project List '!$J$6:$J$44, MATCH(B7,'Project List '!$B$6:$B$44,0))</f>
        <v>0</v>
      </c>
      <c r="J7" s="667">
        <f>INDEX('Project List '!$X$6:$X$44, MATCH(B7,'Project List '!$B$6:$B$44,0))</f>
        <v>994941.87499999977</v>
      </c>
      <c r="K7" s="667">
        <f>INDEX('Project List '!$AF$6:$AF$44, MATCH(B7,'Project List '!$B$6:$B$44,0))</f>
        <v>994941.87499999977</v>
      </c>
      <c r="L7" s="667">
        <f>INDEX('Project List '!$AI$6:$AI$44, MATCH(B7,'Project List '!$B$6:$B$44,0))</f>
        <v>994941.87499999977</v>
      </c>
      <c r="M7" s="363">
        <f>INDEX('Project List '!$AJ$6:$AJ$44, MATCH(B7,'Project List '!$B$6:$B$44,0))</f>
        <v>0</v>
      </c>
      <c r="N7" s="571" t="s">
        <v>76</v>
      </c>
      <c r="O7" s="570">
        <f>INDEX('Project List '!$AL$6:$AL$44, MATCH(B7,'Project List '!$B$6:$B$44,0))</f>
        <v>260</v>
      </c>
      <c r="P7"/>
    </row>
    <row r="8" spans="2:17" s="68" customFormat="1" ht="23.25" customHeight="1">
      <c r="B8" s="359" t="s">
        <v>100</v>
      </c>
      <c r="C8" s="360" t="str">
        <f>INDEX('Project List '!$C$6:$C$44, MATCH('S-Collection'!B8,'Project List '!$B$6:$B$44,0))</f>
        <v>1050 mm Gravity Sewer (Crystal Shores Road to 260m South)</v>
      </c>
      <c r="D8" s="361" t="str">
        <f>INDEX('Project List '!$E$6:$E$44, MATCH(B8,'Project List '!$B$6:$B$44,0))</f>
        <v>Town</v>
      </c>
      <c r="E8" s="361" t="str">
        <f>INDEX('Project List '!$F$6:$F$44, MATCH(B8,'Project List '!$B$6:$B$44,0))</f>
        <v>OSL</v>
      </c>
      <c r="F8" s="361">
        <f>INDEX('Project List '!$G$6:$G$44, MATCH(B8,'Project List '!$B$6:$B$44,0))</f>
        <v>2027</v>
      </c>
      <c r="G8" s="361">
        <f>INDEX('Project List '!$H$6:$H$44, MATCH(B8,'Project List '!$B$6:$B$44,0))</f>
        <v>2028</v>
      </c>
      <c r="H8" s="362">
        <f>INDEX('Project List '!$I$6:$I$44, MATCH(B8,'Project List '!$B$6:$B$44,0))</f>
        <v>1</v>
      </c>
      <c r="I8" s="362">
        <f>INDEX('Project List '!$J$6:$J$44, MATCH(B8,'Project List '!$B$6:$B$44,0))</f>
        <v>0</v>
      </c>
      <c r="J8" s="667">
        <f>INDEX('Project List '!$X$6:$X$44, MATCH(B8,'Project List '!$B$6:$B$44,0))</f>
        <v>994941.87499999977</v>
      </c>
      <c r="K8" s="667">
        <f>INDEX('Project List '!$AF$6:$AF$44, MATCH(B8,'Project List '!$B$6:$B$44,0))</f>
        <v>994941.87499999977</v>
      </c>
      <c r="L8" s="667">
        <f>INDEX('Project List '!$AI$6:$AI$44, MATCH(B8,'Project List '!$B$6:$B$44,0))</f>
        <v>994941.87499999977</v>
      </c>
      <c r="M8" s="363">
        <f>INDEX('Project List '!$AJ$6:$AJ$44, MATCH(B8,'Project List '!$B$6:$B$44,0))</f>
        <v>0</v>
      </c>
      <c r="N8" s="571" t="s">
        <v>76</v>
      </c>
      <c r="O8" s="570">
        <f>INDEX('Project List '!$AL$6:$AL$44, MATCH(B8,'Project List '!$B$6:$B$44,0))</f>
        <v>260</v>
      </c>
      <c r="P8"/>
    </row>
    <row r="9" spans="2:17" s="68" customFormat="1" ht="23.25" customHeight="1">
      <c r="B9" s="359" t="s">
        <v>102</v>
      </c>
      <c r="C9" s="360" t="str">
        <f>INDEX('Project List '!$C$6:$C$44, MATCH('S-Collection'!B9,'Project List '!$B$6:$B$44,0))</f>
        <v>1050 mm (North Railway Street to 260m south of Crystal Shores Road)</v>
      </c>
      <c r="D9" s="361" t="str">
        <f>INDEX('Project List '!$E$6:$E$44, MATCH(B9,'Project List '!$B$6:$B$44,0))</f>
        <v>Town</v>
      </c>
      <c r="E9" s="361" t="str">
        <f>INDEX('Project List '!$F$6:$F$44, MATCH(B9,'Project List '!$B$6:$B$44,0))</f>
        <v>OSL</v>
      </c>
      <c r="F9" s="361">
        <f>INDEX('Project List '!$G$6:$G$44, MATCH(B9,'Project List '!$B$6:$B$44,0))</f>
        <v>2031</v>
      </c>
      <c r="G9" s="361">
        <f>INDEX('Project List '!$H$6:$H$44, MATCH(B9,'Project List '!$B$6:$B$44,0))</f>
        <v>2032</v>
      </c>
      <c r="H9" s="362">
        <f>INDEX('Project List '!$I$6:$I$44, MATCH(B9,'Project List '!$B$6:$B$44,0))</f>
        <v>1</v>
      </c>
      <c r="I9" s="362">
        <f>INDEX('Project List '!$J$6:$J$44, MATCH(B9,'Project List '!$B$6:$B$44,0))</f>
        <v>0</v>
      </c>
      <c r="J9" s="667">
        <f>INDEX('Project List '!$X$6:$X$44, MATCH(B9,'Project List '!$B$6:$B$44,0))</f>
        <v>7540335.6249999981</v>
      </c>
      <c r="K9" s="667">
        <f>INDEX('Project List '!$AF$6:$AF$44, MATCH(B9,'Project List '!$B$6:$B$44,0))</f>
        <v>7540335.6249999981</v>
      </c>
      <c r="L9" s="667">
        <f>INDEX('Project List '!$AI$6:$AI$44, MATCH(B9,'Project List '!$B$6:$B$44,0))</f>
        <v>7540335.6249999981</v>
      </c>
      <c r="M9" s="363">
        <f>INDEX('Project List '!$AJ$6:$AJ$44, MATCH(B9,'Project List '!$B$6:$B$44,0))</f>
        <v>0</v>
      </c>
      <c r="N9" s="571" t="s">
        <v>76</v>
      </c>
      <c r="O9" s="570">
        <f>INDEX('Project List '!$AL$6:$AL$44, MATCH(B9,'Project List '!$B$6:$B$44,0))</f>
        <v>1918</v>
      </c>
      <c r="P9"/>
    </row>
    <row r="10" spans="2:17" s="68" customFormat="1" ht="23.25" customHeight="1">
      <c r="B10" s="359">
        <v>45</v>
      </c>
      <c r="C10" s="360" t="str">
        <f>INDEX('Project List '!$C$6:$C$44, MATCH('S-Collection'!B10,'Project List '!$B$6:$B$44,0))</f>
        <v>450 mm Gravity Sewer - Riverside Drive &amp; South Railway Street Upgrade (Northridge Drive/Riverside Drive Intersection - Start of Oak Ave)</v>
      </c>
      <c r="D10" s="361" t="str">
        <f>INDEX('Project List '!$E$6:$E$44, MATCH(B10,'Project List '!$B$6:$B$44,0))</f>
        <v>Town</v>
      </c>
      <c r="E10" s="361" t="str">
        <f>INDEX('Project List '!$F$6:$F$44, MATCH(B10,'Project List '!$B$6:$B$44,0))</f>
        <v>OSL</v>
      </c>
      <c r="F10" s="361">
        <f>INDEX('Project List '!$G$6:$G$44, MATCH(B10,'Project List '!$B$6:$B$44,0))</f>
        <v>2026</v>
      </c>
      <c r="G10" s="361">
        <f>INDEX('Project List '!$H$6:$H$44, MATCH(B10,'Project List '!$B$6:$B$44,0))</f>
        <v>2027</v>
      </c>
      <c r="H10" s="362">
        <f>INDEX('Project List '!$I$6:$I$44, MATCH(B10,'Project List '!$B$6:$B$44,0))</f>
        <v>1</v>
      </c>
      <c r="I10" s="362">
        <f>INDEX('Project List '!$J$6:$J$44, MATCH(B10,'Project List '!$B$6:$B$44,0))</f>
        <v>0</v>
      </c>
      <c r="J10" s="667">
        <f>INDEX('Project List '!$X$6:$X$44, MATCH(B10,'Project List '!$B$6:$B$44,0))</f>
        <v>7040975.2199999997</v>
      </c>
      <c r="K10" s="667">
        <f>INDEX('Project List '!$AF$6:$AF$44, MATCH(B10,'Project List '!$B$6:$B$44,0))</f>
        <v>6631506.2199999997</v>
      </c>
      <c r="L10" s="667">
        <f>INDEX('Project List '!$AI$6:$AI$44, MATCH(B10,'Project List '!$B$6:$B$44,0))</f>
        <v>6631506.2199999997</v>
      </c>
      <c r="M10" s="363">
        <f>INDEX('Project List '!$AJ$6:$AJ$44, MATCH(B10,'Project List '!$B$6:$B$44,0))</f>
        <v>0</v>
      </c>
      <c r="N10" s="571" t="s">
        <v>76</v>
      </c>
      <c r="O10" s="570">
        <f>INDEX('Project List '!$AL$6:$AL$44, MATCH(B10,'Project List '!$B$6:$B$44,0))</f>
        <v>1585</v>
      </c>
      <c r="P10"/>
    </row>
    <row r="11" spans="2:17" s="68" customFormat="1" ht="23.25" customHeight="1">
      <c r="B11" s="359">
        <v>46</v>
      </c>
      <c r="C11" s="360" t="str">
        <f>INDEX('Project List '!$C$6:$C$44, MATCH('S-Collection'!B11,'Project List '!$B$6:$B$44,0))</f>
        <v>350 mm Siphon (32 Street/Railroad intersection - WWTP)</v>
      </c>
      <c r="D11" s="361" t="str">
        <f>INDEX('Project List '!$E$6:$E$44, MATCH(B11,'Project List '!$B$6:$B$44,0))</f>
        <v>Town</v>
      </c>
      <c r="E11" s="361" t="str">
        <f>INDEX('Project List '!$F$6:$F$44, MATCH(B11,'Project List '!$B$6:$B$44,0))</f>
        <v>OSL</v>
      </c>
      <c r="F11" s="361">
        <f>INDEX('Project List '!$G$6:$G$44, MATCH(B11,'Project List '!$B$6:$B$44,0))</f>
        <v>2031</v>
      </c>
      <c r="G11" s="361">
        <f>INDEX('Project List '!$H$6:$H$44, MATCH(B11,'Project List '!$B$6:$B$44,0))</f>
        <v>2032</v>
      </c>
      <c r="H11" s="362">
        <f>INDEX('Project List '!$I$6:$I$44, MATCH(B11,'Project List '!$B$6:$B$44,0))</f>
        <v>1</v>
      </c>
      <c r="I11" s="362">
        <f>INDEX('Project List '!$J$6:$J$44, MATCH(B11,'Project List '!$B$6:$B$44,0))</f>
        <v>0</v>
      </c>
      <c r="J11" s="667">
        <f>INDEX('Project List '!$X$6:$X$44, MATCH(B11,'Project List '!$B$6:$B$44,0))</f>
        <v>5450642.4999999991</v>
      </c>
      <c r="K11" s="667">
        <f>INDEX('Project List '!$AF$6:$AF$44, MATCH(B11,'Project List '!$B$6:$B$44,0))</f>
        <v>5450642.4999999991</v>
      </c>
      <c r="L11" s="667">
        <f>INDEX('Project List '!$AI$6:$AI$44, MATCH(B11,'Project List '!$B$6:$B$44,0))</f>
        <v>5450642.4999999991</v>
      </c>
      <c r="M11" s="363">
        <f>INDEX('Project List '!$AJ$6:$AJ$44, MATCH(B11,'Project List '!$B$6:$B$44,0))</f>
        <v>0</v>
      </c>
      <c r="N11" s="571" t="s">
        <v>76</v>
      </c>
      <c r="O11" s="570">
        <f>INDEX('Project List '!$AL$6:$AL$44, MATCH(B11,'Project List '!$B$6:$B$44,0))</f>
        <v>708</v>
      </c>
      <c r="P11"/>
    </row>
    <row r="12" spans="2:17" s="68" customFormat="1" ht="23.25" customHeight="1">
      <c r="B12" s="359">
        <v>60</v>
      </c>
      <c r="C12" s="360" t="str">
        <f>INDEX('Project List '!$C$6:$C$44, MATCH('S-Collection'!B12,'Project List '!$B$6:$B$44,0))</f>
        <v>675 mm Gravity Sewer (S-3, Highway 7/2A Intersection - Highway 7/32nd Street Intersection)</v>
      </c>
      <c r="D12" s="361" t="str">
        <f>INDEX('Project List '!$E$6:$E$44, MATCH(B12,'Project List '!$B$6:$B$44,0))</f>
        <v>Town</v>
      </c>
      <c r="E12" s="361" t="str">
        <f>INDEX('Project List '!$F$6:$F$44, MATCH(B12,'Project List '!$B$6:$B$44,0))</f>
        <v>OSL</v>
      </c>
      <c r="F12" s="361">
        <f>INDEX('Project List '!$G$6:$G$44, MATCH(B12,'Project List '!$B$6:$B$44,0))</f>
        <v>2031</v>
      </c>
      <c r="G12" s="361">
        <f>INDEX('Project List '!$H$6:$H$44, MATCH(B12,'Project List '!$B$6:$B$44,0))</f>
        <v>2032</v>
      </c>
      <c r="H12" s="362">
        <f>INDEX('Project List '!$I$6:$I$44, MATCH(B12,'Project List '!$B$6:$B$44,0))</f>
        <v>1</v>
      </c>
      <c r="I12" s="362">
        <f>INDEX('Project List '!$J$6:$J$44, MATCH(B12,'Project List '!$B$6:$B$44,0))</f>
        <v>0</v>
      </c>
      <c r="J12" s="667">
        <f>INDEX('Project List '!$X$6:$X$44, MATCH(B12,'Project List '!$B$6:$B$44,0))</f>
        <v>3709756.8749999991</v>
      </c>
      <c r="K12" s="667">
        <f>INDEX('Project List '!$AF$6:$AF$44, MATCH(B12,'Project List '!$B$6:$B$44,0))</f>
        <v>3709756.8749999991</v>
      </c>
      <c r="L12" s="667">
        <f>INDEX('Project List '!$AI$6:$AI$44, MATCH(B12,'Project List '!$B$6:$B$44,0))</f>
        <v>3709756.8749999991</v>
      </c>
      <c r="M12" s="363">
        <f>INDEX('Project List '!$AJ$6:$AJ$44, MATCH(B12,'Project List '!$B$6:$B$44,0))</f>
        <v>0</v>
      </c>
      <c r="N12" s="571" t="s">
        <v>76</v>
      </c>
      <c r="O12" s="570">
        <f>INDEX('Project List '!$AL$6:$AL$44, MATCH(B12,'Project List '!$B$6:$B$44,0))</f>
        <v>2474</v>
      </c>
      <c r="P12"/>
    </row>
    <row r="13" spans="2:17" ht="23.25" customHeight="1" thickBot="1">
      <c r="B13" s="575">
        <v>61</v>
      </c>
      <c r="C13" s="576" t="str">
        <f>INDEX('Project List '!$C$6:$C$44, MATCH('S-Collection'!B13,'Project List '!$B$6:$B$44,0))</f>
        <v>750 mm Gravity Sewer (Highway 7/32nd Street Intersection - 32 Street/Railroad intersection)</v>
      </c>
      <c r="D13" s="577" t="str">
        <f>INDEX('Project List '!$E$6:$E$44, MATCH(B13,'Project List '!$B$6:$B$44,0))</f>
        <v>Town</v>
      </c>
      <c r="E13" s="577" t="str">
        <f>INDEX('Project List '!$F$6:$F$44, MATCH(B13,'Project List '!$B$6:$B$44,0))</f>
        <v>OSL</v>
      </c>
      <c r="F13" s="577">
        <f>INDEX('Project List '!$G$6:$G$44, MATCH(B13,'Project List '!$B$6:$B$44,0))</f>
        <v>2032</v>
      </c>
      <c r="G13" s="577">
        <f>INDEX('Project List '!$H$6:$H$44, MATCH(B13,'Project List '!$B$6:$B$44,0))</f>
        <v>2033</v>
      </c>
      <c r="H13" s="578">
        <f>INDEX('Project List '!$I$6:$I$44, MATCH(B13,'Project List '!$B$6:$B$44,0))</f>
        <v>1</v>
      </c>
      <c r="I13" s="578">
        <f>INDEX('Project List '!$J$6:$J$44, MATCH(B13,'Project List '!$B$6:$B$44,0))</f>
        <v>0</v>
      </c>
      <c r="J13" s="668">
        <f>INDEX('Project List '!$X$6:$X$44, MATCH(B13,'Project List '!$B$6:$B$44,0))</f>
        <v>1546519.9999999995</v>
      </c>
      <c r="K13" s="668">
        <f>INDEX('Project List '!$AF$6:$AF$44, MATCH(B13,'Project List '!$B$6:$B$44,0))</f>
        <v>1546519.9999999995</v>
      </c>
      <c r="L13" s="668">
        <f>INDEX('Project List '!$AI$6:$AI$44, MATCH(B13,'Project List '!$B$6:$B$44,0))</f>
        <v>1546519.9999999995</v>
      </c>
      <c r="M13" s="579">
        <f>INDEX('Project List '!$AJ$6:$AJ$44, MATCH(B13,'Project List '!$B$6:$B$44,0))</f>
        <v>0</v>
      </c>
      <c r="N13" s="580" t="s">
        <v>76</v>
      </c>
      <c r="O13" s="632">
        <f>INDEX('Project List '!$AL$6:$AL$44, MATCH(B13,'Project List '!$B$6:$B$44,0))</f>
        <v>920</v>
      </c>
      <c r="P13"/>
    </row>
    <row r="14" spans="2:17" ht="15.6" thickTop="1" thickBot="1">
      <c r="B14" s="572"/>
      <c r="C14" s="434"/>
      <c r="D14" s="434"/>
      <c r="E14" s="434"/>
      <c r="F14" s="434"/>
      <c r="G14" s="434"/>
      <c r="H14" s="434"/>
      <c r="I14" s="573"/>
      <c r="J14" s="642">
        <f>SUM(J6:J13)</f>
        <v>33197161.969999999</v>
      </c>
      <c r="K14" s="642"/>
      <c r="L14" s="642">
        <f>SUM(L6:L13)</f>
        <v>29135840.969999999</v>
      </c>
      <c r="M14" s="642">
        <f>SUM(M6:M13)</f>
        <v>0</v>
      </c>
      <c r="N14" s="643"/>
      <c r="O14" s="644"/>
      <c r="P14"/>
    </row>
    <row r="16" spans="2:17">
      <c r="I16" s="80"/>
      <c r="J16" s="80"/>
      <c r="K16" s="80"/>
      <c r="L16" s="81"/>
      <c r="M16" s="81"/>
      <c r="N16" s="81"/>
      <c r="O16" s="81"/>
      <c r="P16" s="81"/>
    </row>
    <row r="17" spans="2:16" ht="25.2" thickBot="1">
      <c r="B17" s="77" t="s">
        <v>183</v>
      </c>
    </row>
    <row r="18" spans="2:16" ht="23.25" customHeight="1" thickBot="1">
      <c r="B18" s="777" t="s">
        <v>31</v>
      </c>
      <c r="C18" s="778"/>
      <c r="D18" s="779" t="s">
        <v>96</v>
      </c>
      <c r="E18" s="778"/>
      <c r="F18" s="779" t="s">
        <v>2</v>
      </c>
      <c r="G18" s="778"/>
      <c r="H18" s="779" t="s">
        <v>52</v>
      </c>
      <c r="I18" s="778"/>
      <c r="J18" s="779" t="s">
        <v>53</v>
      </c>
      <c r="K18" s="778"/>
      <c r="L18" s="775" t="s">
        <v>126</v>
      </c>
      <c r="M18" s="805"/>
      <c r="N18" s="562" t="s">
        <v>97</v>
      </c>
      <c r="O18" s="775" t="s">
        <v>127</v>
      </c>
      <c r="P18" s="776"/>
    </row>
    <row r="19" spans="2:16" ht="24">
      <c r="B19" s="556" t="s">
        <v>56</v>
      </c>
      <c r="C19" s="557" t="s">
        <v>57</v>
      </c>
      <c r="D19" s="558" t="s">
        <v>91</v>
      </c>
      <c r="E19" s="558" t="s">
        <v>92</v>
      </c>
      <c r="F19" s="558" t="s">
        <v>4</v>
      </c>
      <c r="G19" s="558" t="s">
        <v>5</v>
      </c>
      <c r="H19" s="559" t="s">
        <v>50</v>
      </c>
      <c r="I19" s="559" t="s">
        <v>51</v>
      </c>
      <c r="J19" s="559" t="s">
        <v>152</v>
      </c>
      <c r="K19" s="559" t="s">
        <v>154</v>
      </c>
      <c r="L19" s="560" t="s">
        <v>54</v>
      </c>
      <c r="M19" s="558" t="s">
        <v>55</v>
      </c>
      <c r="N19" s="558"/>
      <c r="O19" s="558" t="s">
        <v>87</v>
      </c>
      <c r="P19" s="574" t="s">
        <v>86</v>
      </c>
    </row>
    <row r="20" spans="2:16" s="68" customFormat="1" ht="23.25" customHeight="1">
      <c r="B20" s="359" t="s">
        <v>104</v>
      </c>
      <c r="C20" s="360" t="str">
        <f>INDEX('Project List '!$C$6:$C$44, MATCH('S-Collection'!B20,'Project List '!$B$6:$B$44,0))</f>
        <v>1050 mm (Crystal Green Lane to 610m into undeveloped land)</v>
      </c>
      <c r="D20" s="361" t="str">
        <f>INDEX('Project List '!$E$6:$E$44, MATCH(B20,'Project List '!$B$6:$B$44,0))</f>
        <v>Others</v>
      </c>
      <c r="E20" s="361" t="str">
        <f>INDEX('Project List '!$F$6:$F$44, MATCH(B20,'Project List '!$B$6:$B$44,0))</f>
        <v>OSL</v>
      </c>
      <c r="F20" s="361">
        <f>INDEX('Project List '!$G$6:$G$44, MATCH(B20,'Project List '!$B$6:$B$44,0))</f>
        <v>2026</v>
      </c>
      <c r="G20" s="361">
        <f>INDEX('Project List '!$H$6:$H$44, MATCH(B20,'Project List '!$B$6:$B$44,0))</f>
        <v>2027</v>
      </c>
      <c r="H20" s="362">
        <f>INDEX('Project List '!$I$6:$I$44, MATCH(B20,'Project List '!$B$6:$B$44,0))</f>
        <v>1</v>
      </c>
      <c r="I20" s="362">
        <f>INDEX('Project List '!$J$6:$J$44, MATCH(B20,'Project List '!$B$6:$B$44,0))</f>
        <v>0</v>
      </c>
      <c r="J20" s="667">
        <f>INDEX('Project List '!$X$6:$X$44, MATCH(B20,'Project List '!$B$6:$B$44,0))</f>
        <v>995992.49999999977</v>
      </c>
      <c r="K20" s="667">
        <f>INDEX('Project List '!$AF$6:$AF$44, MATCH(B20,'Project List '!$B$6:$B$44,0))</f>
        <v>995992.49999999977</v>
      </c>
      <c r="L20" s="667">
        <f>INDEX('Project List '!$AI$6:$AI$44, MATCH(B20,'Project List '!$B$6:$B$44,0))</f>
        <v>995992.49999999977</v>
      </c>
      <c r="M20" s="363">
        <f>INDEX('Project List '!$AJ$6:$AJ$44, MATCH(B20,'Project List '!$B$6:$B$44,0))</f>
        <v>0</v>
      </c>
      <c r="N20" s="571" t="s">
        <v>77</v>
      </c>
      <c r="O20" s="497">
        <f>INDEX('Project List '!$AL$6:$AL$44, MATCH(B20,'Project List '!$B$6:$B$44,0))</f>
        <v>610</v>
      </c>
      <c r="P20" s="669">
        <f>INDEX('Project List '!$AM$6:$AM$44, MATCH(B20,'Project List '!$B$6:$B$44,0))</f>
        <v>569740</v>
      </c>
    </row>
    <row r="21" spans="2:16" s="68" customFormat="1" ht="23.25" customHeight="1">
      <c r="B21" s="359">
        <v>47</v>
      </c>
      <c r="C21" s="360" t="str">
        <f>INDEX('Project List '!$C$6:$C$44, MATCH('S-Collection'!B21,'Project List '!$B$6:$B$44,0))</f>
        <v>375 mm Forcemain</v>
      </c>
      <c r="D21" s="361" t="str">
        <f>INDEX('Project List '!$E$6:$E$44, MATCH(B21,'Project List '!$B$6:$B$44,0))</f>
        <v>Others</v>
      </c>
      <c r="E21" s="361" t="str">
        <f>INDEX('Project List '!$F$6:$F$44, MATCH(B21,'Project List '!$B$6:$B$44,0))</f>
        <v>OSL</v>
      </c>
      <c r="F21" s="361">
        <f>INDEX('Project List '!$G$6:$G$44, MATCH(B21,'Project List '!$B$6:$B$44,0))</f>
        <v>2031</v>
      </c>
      <c r="G21" s="361">
        <f>INDEX('Project List '!$H$6:$H$44, MATCH(B21,'Project List '!$B$6:$B$44,0))</f>
        <v>2032</v>
      </c>
      <c r="H21" s="362">
        <f>INDEX('Project List '!$I$6:$I$44, MATCH(B21,'Project List '!$B$6:$B$44,0))</f>
        <v>1</v>
      </c>
      <c r="I21" s="362">
        <f>INDEX('Project List '!$J$6:$J$44, MATCH(B21,'Project List '!$B$6:$B$44,0))</f>
        <v>0</v>
      </c>
      <c r="J21" s="667">
        <f>INDEX('Project List '!$X$6:$X$44, MATCH(B21,'Project List '!$B$6:$B$44,0))</f>
        <v>2722169.3749999995</v>
      </c>
      <c r="K21" s="667">
        <f>INDEX('Project List '!$AF$6:$AF$44, MATCH(B21,'Project List '!$B$6:$B$44,0))</f>
        <v>2722169.3749999995</v>
      </c>
      <c r="L21" s="667">
        <f>INDEX('Project List '!$AI$6:$AI$44, MATCH(B21,'Project List '!$B$6:$B$44,0))</f>
        <v>2722169.3749999995</v>
      </c>
      <c r="M21" s="363">
        <f>INDEX('Project List '!$AJ$6:$AJ$44, MATCH(B21,'Project List '!$B$6:$B$44,0))</f>
        <v>0</v>
      </c>
      <c r="N21" s="571" t="s">
        <v>77</v>
      </c>
      <c r="O21" s="497">
        <f>INDEX('Project List '!$AL$6:$AL$44, MATCH(B21,'Project List '!$B$6:$B$44,0))</f>
        <v>2258</v>
      </c>
      <c r="P21" s="669">
        <f>INDEX('Project List '!$AM$6:$AM$44, MATCH(B21,'Project List '!$B$6:$B$44,0))</f>
        <v>1879935.3749999995</v>
      </c>
    </row>
    <row r="22" spans="2:16" s="68" customFormat="1" ht="23.25" customHeight="1">
      <c r="B22" s="359">
        <v>48</v>
      </c>
      <c r="C22" s="360" t="str">
        <f>INDEX('Project List '!$C$6:$C$44, MATCH('S-Collection'!B22,'Project List '!$B$6:$B$44,0))</f>
        <v>900 mm Gravity Sewer</v>
      </c>
      <c r="D22" s="361" t="str">
        <f>INDEX('Project List '!$E$6:$E$44, MATCH(B22,'Project List '!$B$6:$B$44,0))</f>
        <v>Others</v>
      </c>
      <c r="E22" s="361" t="str">
        <f>INDEX('Project List '!$F$6:$F$44, MATCH(B22,'Project List '!$B$6:$B$44,0))</f>
        <v>OSL</v>
      </c>
      <c r="F22" s="361">
        <f>INDEX('Project List '!$G$6:$G$44, MATCH(B22,'Project List '!$B$6:$B$44,0))</f>
        <v>2027</v>
      </c>
      <c r="G22" s="361">
        <f>INDEX('Project List '!$H$6:$H$44, MATCH(B22,'Project List '!$B$6:$B$44,0))</f>
        <v>2028</v>
      </c>
      <c r="H22" s="362">
        <f>INDEX('Project List '!$I$6:$I$44, MATCH(B22,'Project List '!$B$6:$B$44,0))</f>
        <v>1</v>
      </c>
      <c r="I22" s="362">
        <f>INDEX('Project List '!$J$6:$J$44, MATCH(B22,'Project List '!$B$6:$B$44,0))</f>
        <v>0</v>
      </c>
      <c r="J22" s="667">
        <f>INDEX('Project List '!$X$6:$X$44, MATCH(B22,'Project List '!$B$6:$B$44,0))</f>
        <v>378224.99999999988</v>
      </c>
      <c r="K22" s="667">
        <f>INDEX('Project List '!$AF$6:$AF$44, MATCH(B22,'Project List '!$B$6:$B$44,0))</f>
        <v>378224.99999999988</v>
      </c>
      <c r="L22" s="667">
        <f>INDEX('Project List '!$AI$6:$AI$44, MATCH(B22,'Project List '!$B$6:$B$44,0))</f>
        <v>378224.99999999988</v>
      </c>
      <c r="M22" s="363">
        <f>INDEX('Project List '!$AJ$6:$AJ$44, MATCH(B22,'Project List '!$B$6:$B$44,0))</f>
        <v>0</v>
      </c>
      <c r="N22" s="571" t="s">
        <v>77</v>
      </c>
      <c r="O22" s="497">
        <f>INDEX('Project List '!$AL$6:$AL$44, MATCH(B22,'Project List '!$B$6:$B$44,0))</f>
        <v>271</v>
      </c>
      <c r="P22" s="669">
        <f>INDEX('Project List '!$AM$6:$AM$44, MATCH(B22,'Project List '!$B$6:$B$44,0))</f>
        <v>194578</v>
      </c>
    </row>
    <row r="23" spans="2:16" s="68" customFormat="1" ht="23.25" customHeight="1">
      <c r="B23" s="359" t="s">
        <v>59</v>
      </c>
      <c r="C23" s="360" t="str">
        <f>INDEX('Project List '!$C$6:$C$44, MATCH('S-Collection'!B23,'Project List '!$B$6:$B$44,0))</f>
        <v>675 mm Gravity Sewer</v>
      </c>
      <c r="D23" s="361" t="str">
        <f>INDEX('Project List '!$E$6:$E$44, MATCH(B23,'Project List '!$B$6:$B$44,0))</f>
        <v>Others</v>
      </c>
      <c r="E23" s="361" t="str">
        <f>INDEX('Project List '!$F$6:$F$44, MATCH(B23,'Project List '!$B$6:$B$44,0))</f>
        <v>OSL</v>
      </c>
      <c r="F23" s="361">
        <f>INDEX('Project List '!$G$6:$G$44, MATCH(B23,'Project List '!$B$6:$B$44,0))</f>
        <v>2028</v>
      </c>
      <c r="G23" s="361">
        <f>INDEX('Project List '!$H$6:$H$44, MATCH(B23,'Project List '!$B$6:$B$44,0))</f>
        <v>2029</v>
      </c>
      <c r="H23" s="362">
        <f>INDEX('Project List '!$I$6:$I$44, MATCH(B23,'Project List '!$B$6:$B$44,0))</f>
        <v>1</v>
      </c>
      <c r="I23" s="362">
        <f>INDEX('Project List '!$J$6:$J$44, MATCH(B23,'Project List '!$B$6:$B$44,0))</f>
        <v>0</v>
      </c>
      <c r="J23" s="667">
        <f>INDEX('Project List '!$X$6:$X$44, MATCH(B23,'Project List '!$B$6:$B$44,0))</f>
        <v>243744.99999999994</v>
      </c>
      <c r="K23" s="667">
        <f>INDEX('Project List '!$AF$6:$AF$44, MATCH(B23,'Project List '!$B$6:$B$44,0))</f>
        <v>243744.99999999994</v>
      </c>
      <c r="L23" s="667">
        <f>INDEX('Project List '!$AI$6:$AI$44, MATCH(B23,'Project List '!$B$6:$B$44,0))</f>
        <v>243744.99999999994</v>
      </c>
      <c r="M23" s="363">
        <f>INDEX('Project List '!$AJ$6:$AJ$44, MATCH(B23,'Project List '!$B$6:$B$44,0))</f>
        <v>0</v>
      </c>
      <c r="N23" s="571" t="s">
        <v>77</v>
      </c>
      <c r="O23" s="497">
        <f>INDEX('Project List '!$AL$6:$AL$44, MATCH(B23,'Project List '!$B$6:$B$44,0))</f>
        <v>233</v>
      </c>
      <c r="P23" s="669">
        <f>INDEX('Project List '!$AM$6:$AM$44, MATCH(B23,'Project List '!$B$6:$B$44,0))</f>
        <v>84579</v>
      </c>
    </row>
    <row r="24" spans="2:16" s="68" customFormat="1" ht="23.25" customHeight="1">
      <c r="B24" s="359" t="s">
        <v>60</v>
      </c>
      <c r="C24" s="360" t="str">
        <f>INDEX('Project List '!$C$6:$C$44, MATCH('S-Collection'!B24,'Project List '!$B$6:$B$44,0))</f>
        <v>675 mm Gravity Sewer</v>
      </c>
      <c r="D24" s="361" t="str">
        <f>INDEX('Project List '!$E$6:$E$44, MATCH(B24,'Project List '!$B$6:$B$44,0))</f>
        <v>Others</v>
      </c>
      <c r="E24" s="361" t="str">
        <f>INDEX('Project List '!$F$6:$F$44, MATCH(B24,'Project List '!$B$6:$B$44,0))</f>
        <v>OSL</v>
      </c>
      <c r="F24" s="361">
        <f>INDEX('Project List '!$G$6:$G$44, MATCH(B24,'Project List '!$B$6:$B$44,0))</f>
        <v>2029</v>
      </c>
      <c r="G24" s="361">
        <f>INDEX('Project List '!$H$6:$H$44, MATCH(B24,'Project List '!$B$6:$B$44,0))</f>
        <v>2030</v>
      </c>
      <c r="H24" s="362">
        <f>INDEX('Project List '!$I$6:$I$44, MATCH(B24,'Project List '!$B$6:$B$44,0))</f>
        <v>1</v>
      </c>
      <c r="I24" s="362">
        <f>INDEX('Project List '!$J$6:$J$44, MATCH(B24,'Project List '!$B$6:$B$44,0))</f>
        <v>0</v>
      </c>
      <c r="J24" s="667">
        <f>INDEX('Project List '!$X$6:$X$44, MATCH(B24,'Project List '!$B$6:$B$44,0))</f>
        <v>401338.74999999988</v>
      </c>
      <c r="K24" s="667">
        <f>INDEX('Project List '!$AF$6:$AF$44, MATCH(B24,'Project List '!$B$6:$B$44,0))</f>
        <v>401338.74999999988</v>
      </c>
      <c r="L24" s="667">
        <f>INDEX('Project List '!$AI$6:$AI$44, MATCH(B24,'Project List '!$B$6:$B$44,0))</f>
        <v>401338.74999999988</v>
      </c>
      <c r="M24" s="363">
        <f>INDEX('Project List '!$AJ$6:$AJ$44, MATCH(B24,'Project List '!$B$6:$B$44,0))</f>
        <v>0</v>
      </c>
      <c r="N24" s="571" t="s">
        <v>77</v>
      </c>
      <c r="O24" s="497">
        <f>INDEX('Project List '!$AL$6:$AL$44, MATCH(B24,'Project List '!$B$6:$B$44,0))</f>
        <v>384</v>
      </c>
      <c r="P24" s="669">
        <f>INDEX('Project List '!$AM$6:$AM$44, MATCH(B24,'Project List '!$B$6:$B$44,0))</f>
        <v>139392</v>
      </c>
    </row>
    <row r="25" spans="2:16" s="68" customFormat="1" ht="23.25" customHeight="1">
      <c r="B25" s="359">
        <v>51</v>
      </c>
      <c r="C25" s="360" t="str">
        <f>INDEX('Project List '!$C$6:$C$44, MATCH('S-Collection'!B25,'Project List '!$B$6:$B$44,0))</f>
        <v>450 mm Gravity Sewer</v>
      </c>
      <c r="D25" s="361" t="str">
        <f>INDEX('Project List '!$E$6:$E$44, MATCH(B25,'Project List '!$B$6:$B$44,0))</f>
        <v>Others</v>
      </c>
      <c r="E25" s="361" t="str">
        <f>INDEX('Project List '!$F$6:$F$44, MATCH(B25,'Project List '!$B$6:$B$44,0))</f>
        <v>OSL</v>
      </c>
      <c r="F25" s="361">
        <f>INDEX('Project List '!$G$6:$G$44, MATCH(B25,'Project List '!$B$6:$B$44,0))</f>
        <v>2040</v>
      </c>
      <c r="G25" s="361">
        <f>INDEX('Project List '!$H$6:$H$44, MATCH(B25,'Project List '!$B$6:$B$44,0))</f>
        <v>2041</v>
      </c>
      <c r="H25" s="362">
        <f>INDEX('Project List '!$I$6:$I$44, MATCH(B25,'Project List '!$B$6:$B$44,0))</f>
        <v>1</v>
      </c>
      <c r="I25" s="362">
        <f>INDEX('Project List '!$J$6:$J$44, MATCH(B25,'Project List '!$B$6:$B$44,0))</f>
        <v>0</v>
      </c>
      <c r="J25" s="667">
        <f>INDEX('Project List '!$X$6:$X$44, MATCH(B25,'Project List '!$B$6:$B$44,0))</f>
        <v>198568.12499999994</v>
      </c>
      <c r="K25" s="667">
        <f>INDEX('Project List '!$AF$6:$AF$44, MATCH(B25,'Project List '!$B$6:$B$44,0))</f>
        <v>198568.12499999994</v>
      </c>
      <c r="L25" s="667">
        <f>INDEX('Project List '!$AI$6:$AI$44, MATCH(B25,'Project List '!$B$6:$B$44,0))</f>
        <v>198568.12499999994</v>
      </c>
      <c r="M25" s="363">
        <f>INDEX('Project List '!$AJ$6:$AJ$44, MATCH(B25,'Project List '!$B$6:$B$44,0))</f>
        <v>0</v>
      </c>
      <c r="N25" s="571" t="s">
        <v>77</v>
      </c>
      <c r="O25" s="497">
        <f>INDEX('Project List '!$AL$6:$AL$44, MATCH(B25,'Project List '!$B$6:$B$44,0))</f>
        <v>287</v>
      </c>
      <c r="P25" s="669">
        <f>INDEX('Project List '!$AM$6:$AM$44, MATCH(B25,'Project List '!$B$6:$B$44,0))</f>
        <v>34440</v>
      </c>
    </row>
    <row r="26" spans="2:16" s="68" customFormat="1" ht="23.25" customHeight="1">
      <c r="B26" s="359" t="s">
        <v>61</v>
      </c>
      <c r="C26" s="360" t="str">
        <f>INDEX('Project List '!$C$6:$C$44, MATCH('S-Collection'!B26,'Project List '!$B$6:$B$44,0))</f>
        <v>525 mm Gravity Sewer</v>
      </c>
      <c r="D26" s="361" t="str">
        <f>INDEX('Project List '!$E$6:$E$44, MATCH(B26,'Project List '!$B$6:$B$44,0))</f>
        <v>Others</v>
      </c>
      <c r="E26" s="361" t="str">
        <f>INDEX('Project List '!$F$6:$F$44, MATCH(B26,'Project List '!$B$6:$B$44,0))</f>
        <v>OSL</v>
      </c>
      <c r="F26" s="361">
        <f>INDEX('Project List '!$G$6:$G$44, MATCH(B26,'Project List '!$B$6:$B$44,0))</f>
        <v>2030</v>
      </c>
      <c r="G26" s="361">
        <f>INDEX('Project List '!$H$6:$H$44, MATCH(B26,'Project List '!$B$6:$B$44,0))</f>
        <v>2031</v>
      </c>
      <c r="H26" s="362">
        <f>INDEX('Project List '!$I$6:$I$44, MATCH(B26,'Project List '!$B$6:$B$44,0))</f>
        <v>1</v>
      </c>
      <c r="I26" s="362">
        <f>INDEX('Project List '!$J$6:$J$44, MATCH(B26,'Project List '!$B$6:$B$44,0))</f>
        <v>0</v>
      </c>
      <c r="J26" s="667">
        <f>INDEX('Project List '!$X$6:$X$44, MATCH(B26,'Project List '!$B$6:$B$44,0))</f>
        <v>307833.125</v>
      </c>
      <c r="K26" s="667">
        <f>INDEX('Project List '!$AF$6:$AF$44, MATCH(B26,'Project List '!$B$6:$B$44,0))</f>
        <v>307833.125</v>
      </c>
      <c r="L26" s="667">
        <f>INDEX('Project List '!$AI$6:$AI$44, MATCH(B26,'Project List '!$B$6:$B$44,0))</f>
        <v>307833.125</v>
      </c>
      <c r="M26" s="363">
        <f>INDEX('Project List '!$AJ$6:$AJ$44, MATCH(B26,'Project List '!$B$6:$B$44,0))</f>
        <v>0</v>
      </c>
      <c r="N26" s="571" t="s">
        <v>77</v>
      </c>
      <c r="O26" s="497">
        <f>INDEX('Project List '!$AL$6:$AL$44, MATCH(B26,'Project List '!$B$6:$B$44,0))</f>
        <v>396</v>
      </c>
      <c r="P26" s="669">
        <f>INDEX('Project List '!$AM$6:$AM$44, MATCH(B26,'Project List '!$B$6:$B$44,0))</f>
        <v>81576</v>
      </c>
    </row>
    <row r="27" spans="2:16" s="68" customFormat="1" ht="23.25" customHeight="1">
      <c r="B27" s="359" t="s">
        <v>62</v>
      </c>
      <c r="C27" s="360" t="str">
        <f>INDEX('Project List '!$C$6:$C$44, MATCH('S-Collection'!B27,'Project List '!$B$6:$B$44,0))</f>
        <v>525 mm Gravity Sewer</v>
      </c>
      <c r="D27" s="361" t="str">
        <f>INDEX('Project List '!$E$6:$E$44, MATCH(B27,'Project List '!$B$6:$B$44,0))</f>
        <v>Others</v>
      </c>
      <c r="E27" s="361" t="str">
        <f>INDEX('Project List '!$F$6:$F$44, MATCH(B27,'Project List '!$B$6:$B$44,0))</f>
        <v>OSL</v>
      </c>
      <c r="F27" s="361">
        <f>INDEX('Project List '!$G$6:$G$44, MATCH(B27,'Project List '!$B$6:$B$44,0))</f>
        <v>2029</v>
      </c>
      <c r="G27" s="361">
        <f>INDEX('Project List '!$H$6:$H$44, MATCH(B27,'Project List '!$B$6:$B$44,0))</f>
        <v>2030</v>
      </c>
      <c r="H27" s="362">
        <f>INDEX('Project List '!$I$6:$I$44, MATCH(B27,'Project List '!$B$6:$B$44,0))</f>
        <v>1</v>
      </c>
      <c r="I27" s="362">
        <f>INDEX('Project List '!$J$6:$J$44, MATCH(B27,'Project List '!$B$6:$B$44,0))</f>
        <v>0</v>
      </c>
      <c r="J27" s="667">
        <f>INDEX('Project List '!$X$6:$X$44, MATCH(B27,'Project List '!$B$6:$B$44,0))</f>
        <v>458072.49999999988</v>
      </c>
      <c r="K27" s="667">
        <f>INDEX('Project List '!$AF$6:$AF$44, MATCH(B27,'Project List '!$B$6:$B$44,0))</f>
        <v>458072.49999999988</v>
      </c>
      <c r="L27" s="667">
        <f>INDEX('Project List '!$AI$6:$AI$44, MATCH(B27,'Project List '!$B$6:$B$44,0))</f>
        <v>458072.49999999988</v>
      </c>
      <c r="M27" s="363">
        <f>INDEX('Project List '!$AJ$6:$AJ$44, MATCH(B27,'Project List '!$B$6:$B$44,0))</f>
        <v>0</v>
      </c>
      <c r="N27" s="571" t="s">
        <v>77</v>
      </c>
      <c r="O27" s="497">
        <f>INDEX('Project List '!$AL$6:$AL$44, MATCH(B27,'Project List '!$B$6:$B$44,0))</f>
        <v>588</v>
      </c>
      <c r="P27" s="669">
        <f>INDEX('Project List '!$AM$6:$AM$44, MATCH(B27,'Project List '!$B$6:$B$44,0))</f>
        <v>121128</v>
      </c>
    </row>
    <row r="28" spans="2:16" ht="23.25" customHeight="1">
      <c r="B28" s="359">
        <v>55</v>
      </c>
      <c r="C28" s="360" t="str">
        <f>INDEX('Project List '!$C$6:$C$44, MATCH('S-Collection'!B28,'Project List '!$B$6:$B$44,0))</f>
        <v>450 mm Gravity Sewer</v>
      </c>
      <c r="D28" s="361" t="str">
        <f>INDEX('Project List '!$E$6:$E$44, MATCH(B28,'Project List '!$B$6:$B$44,0))</f>
        <v>Others</v>
      </c>
      <c r="E28" s="361" t="str">
        <f>INDEX('Project List '!$F$6:$F$44, MATCH(B28,'Project List '!$B$6:$B$44,0))</f>
        <v>OSL</v>
      </c>
      <c r="F28" s="361">
        <f>INDEX('Project List '!$G$6:$G$44, MATCH(B28,'Project List '!$B$6:$B$44,0))</f>
        <v>2030</v>
      </c>
      <c r="G28" s="361">
        <f>INDEX('Project List '!$H$6:$H$44, MATCH(B28,'Project List '!$B$6:$B$44,0))</f>
        <v>2031</v>
      </c>
      <c r="H28" s="362">
        <f>INDEX('Project List '!$I$6:$I$44, MATCH(B28,'Project List '!$B$6:$B$44,0))</f>
        <v>1</v>
      </c>
      <c r="I28" s="362">
        <f>INDEX('Project List '!$J$6:$J$44, MATCH(B28,'Project List '!$B$6:$B$44,0))</f>
        <v>0</v>
      </c>
      <c r="J28" s="667">
        <f>INDEX('Project List '!$X$6:$X$44, MATCH(B28,'Project List '!$B$6:$B$44,0))</f>
        <v>550527.5</v>
      </c>
      <c r="K28" s="667">
        <f>INDEX('Project List '!$AF$6:$AF$44, MATCH(B28,'Project List '!$B$6:$B$44,0))</f>
        <v>550527.5</v>
      </c>
      <c r="L28" s="667">
        <f>INDEX('Project List '!$AI$6:$AI$44, MATCH(B28,'Project List '!$B$6:$B$44,0))</f>
        <v>550527.5</v>
      </c>
      <c r="M28" s="363">
        <f>INDEX('Project List '!$AJ$6:$AJ$44, MATCH(B28,'Project List '!$B$6:$B$44,0))</f>
        <v>0</v>
      </c>
      <c r="N28" s="571" t="s">
        <v>77</v>
      </c>
      <c r="O28" s="497">
        <f>INDEX('Project List '!$AL$6:$AL$44, MATCH(B28,'Project List '!$B$6:$B$44,0))</f>
        <v>800</v>
      </c>
      <c r="P28" s="669">
        <f>INDEX('Project List '!$AM$6:$AM$44, MATCH(B28,'Project List '!$B$6:$B$44,0))</f>
        <v>96000</v>
      </c>
    </row>
    <row r="29" spans="2:16" ht="23.25" customHeight="1">
      <c r="B29" s="359">
        <v>59</v>
      </c>
      <c r="C29" s="360" t="str">
        <f>INDEX('Project List '!$C$6:$C$44, MATCH('S-Collection'!B29,'Project List '!$B$6:$B$44,0))</f>
        <v>600 mm Gravity Sewer</v>
      </c>
      <c r="D29" s="361" t="str">
        <f>INDEX('Project List '!$E$6:$E$44, MATCH(B29,'Project List '!$B$6:$B$44,0))</f>
        <v>Others</v>
      </c>
      <c r="E29" s="361" t="str">
        <f>INDEX('Project List '!$F$6:$F$44, MATCH(B29,'Project List '!$B$6:$B$44,0))</f>
        <v>OSL</v>
      </c>
      <c r="F29" s="361">
        <f>INDEX('Project List '!$G$6:$G$44, MATCH(B29,'Project List '!$B$6:$B$44,0))</f>
        <v>2030</v>
      </c>
      <c r="G29" s="361">
        <f>INDEX('Project List '!$H$6:$H$44, MATCH(B29,'Project List '!$B$6:$B$44,0))</f>
        <v>2031</v>
      </c>
      <c r="H29" s="362">
        <f>INDEX('Project List '!$I$6:$I$44, MATCH(B29,'Project List '!$B$6:$B$44,0))</f>
        <v>1</v>
      </c>
      <c r="I29" s="362">
        <f>INDEX('Project List '!$J$6:$J$44, MATCH(B29,'Project List '!$B$6:$B$44,0))</f>
        <v>0</v>
      </c>
      <c r="J29" s="667">
        <f>INDEX('Project List '!$X$6:$X$44, MATCH(B29,'Project List '!$B$6:$B$44,0))</f>
        <v>169150.62499999997</v>
      </c>
      <c r="K29" s="667">
        <f>INDEX('Project List '!$AF$6:$AF$44, MATCH(B29,'Project List '!$B$6:$B$44,0))</f>
        <v>169150.62499999997</v>
      </c>
      <c r="L29" s="667">
        <f>INDEX('Project List '!$AI$6:$AI$44, MATCH(B29,'Project List '!$B$6:$B$44,0))</f>
        <v>169150.62499999997</v>
      </c>
      <c r="M29" s="363">
        <f>INDEX('Project List '!$AJ$6:$AJ$44, MATCH(B29,'Project List '!$B$6:$B$44,0))</f>
        <v>0</v>
      </c>
      <c r="N29" s="571" t="s">
        <v>77</v>
      </c>
      <c r="O29" s="497">
        <f>INDEX('Project List '!$AL$6:$AL$44, MATCH(B29,'Project List '!$B$6:$B$44,0))</f>
        <v>189</v>
      </c>
      <c r="P29" s="669">
        <f>INDEX('Project List '!$AM$6:$AM$44, MATCH(B29,'Project List '!$B$6:$B$44,0))</f>
        <v>55944</v>
      </c>
    </row>
    <row r="30" spans="2:16" ht="23.25" customHeight="1">
      <c r="B30" s="359">
        <v>65</v>
      </c>
      <c r="C30" s="360" t="str">
        <f>INDEX('Project List '!$C$6:$C$44, MATCH('S-Collection'!B30,'Project List '!$B$6:$B$44,0))</f>
        <v>675 mm Gravity Sewer</v>
      </c>
      <c r="D30" s="361" t="str">
        <f>INDEX('Project List '!$E$6:$E$44, MATCH(B30,'Project List '!$B$6:$B$44,0))</f>
        <v>Others</v>
      </c>
      <c r="E30" s="361" t="str">
        <f>INDEX('Project List '!$F$6:$F$44, MATCH(B30,'Project List '!$B$6:$B$44,0))</f>
        <v>OSL</v>
      </c>
      <c r="F30" s="361">
        <f>INDEX('Project List '!$G$6:$G$44, MATCH(B30,'Project List '!$B$6:$B$44,0))</f>
        <v>2029</v>
      </c>
      <c r="G30" s="361">
        <f>INDEX('Project List '!$H$6:$H$44, MATCH(B30,'Project List '!$B$6:$B$44,0))</f>
        <v>2030</v>
      </c>
      <c r="H30" s="362">
        <f>INDEX('Project List '!$I$6:$I$44, MATCH(B30,'Project List '!$B$6:$B$44,0))</f>
        <v>1</v>
      </c>
      <c r="I30" s="362">
        <f>INDEX('Project List '!$J$6:$J$44, MATCH(B30,'Project List '!$B$6:$B$44,0))</f>
        <v>0</v>
      </c>
      <c r="J30" s="667">
        <f>INDEX('Project List '!$X$6:$X$44, MATCH(B30,'Project List '!$B$6:$B$44,0))</f>
        <v>630375</v>
      </c>
      <c r="K30" s="667">
        <f>INDEX('Project List '!$AF$6:$AF$44, MATCH(B30,'Project List '!$B$6:$B$44,0))</f>
        <v>630375</v>
      </c>
      <c r="L30" s="667">
        <f>INDEX('Project List '!$AI$6:$AI$44, MATCH(B30,'Project List '!$B$6:$B$44,0))</f>
        <v>630375</v>
      </c>
      <c r="M30" s="363">
        <f>INDEX('Project List '!$AJ$6:$AJ$44, MATCH(B30,'Project List '!$B$6:$B$44,0))</f>
        <v>0</v>
      </c>
      <c r="N30" s="571" t="s">
        <v>77</v>
      </c>
      <c r="O30" s="497">
        <f>INDEX('Project List '!$AL$6:$AL$44, MATCH(B30,'Project List '!$B$6:$B$44,0))</f>
        <v>604</v>
      </c>
      <c r="P30" s="669">
        <f>INDEX('Project List '!$AM$6:$AM$44, MATCH(B30,'Project List '!$B$6:$B$44,0))</f>
        <v>219252</v>
      </c>
    </row>
    <row r="31" spans="2:16" ht="23.25" customHeight="1">
      <c r="B31" s="359">
        <v>68</v>
      </c>
      <c r="C31" s="360" t="str">
        <f>INDEX('Project List '!$C$6:$C$44, MATCH('S-Collection'!B31,'Project List '!$B$6:$B$44,0))</f>
        <v>250 mm Siphon</v>
      </c>
      <c r="D31" s="361" t="str">
        <f>INDEX('Project List '!$E$6:$E$44, MATCH(B31,'Project List '!$B$6:$B$44,0))</f>
        <v>Others</v>
      </c>
      <c r="E31" s="361" t="str">
        <f>INDEX('Project List '!$F$6:$F$44, MATCH(B31,'Project List '!$B$6:$B$44,0))</f>
        <v>OSL</v>
      </c>
      <c r="F31" s="361">
        <f>INDEX('Project List '!$G$6:$G$44, MATCH(B31,'Project List '!$B$6:$B$44,0))</f>
        <v>2034</v>
      </c>
      <c r="G31" s="361">
        <f>INDEX('Project List '!$H$6:$H$44, MATCH(B31,'Project List '!$B$6:$B$44,0))</f>
        <v>2035</v>
      </c>
      <c r="H31" s="362">
        <f>INDEX('Project List '!$I$6:$I$44, MATCH(B31,'Project List '!$B$6:$B$44,0))</f>
        <v>1</v>
      </c>
      <c r="I31" s="362">
        <f>INDEX('Project List '!$J$6:$J$44, MATCH(B31,'Project List '!$B$6:$B$44,0))</f>
        <v>0</v>
      </c>
      <c r="J31" s="667">
        <f>INDEX('Project List '!$X$6:$X$44, MATCH(B31,'Project List '!$B$6:$B$44,0))</f>
        <v>5161720.625</v>
      </c>
      <c r="K31" s="667">
        <f>INDEX('Project List '!$AF$6:$AF$44, MATCH(B31,'Project List '!$B$6:$B$44,0))</f>
        <v>5161720.625</v>
      </c>
      <c r="L31" s="667">
        <f>INDEX('Project List '!$AI$6:$AI$44, MATCH(B31,'Project List '!$B$6:$B$44,0))</f>
        <v>5161720.625</v>
      </c>
      <c r="M31" s="363">
        <f>INDEX('Project List '!$AJ$6:$AJ$44, MATCH(B31,'Project List '!$B$6:$B$44,0))</f>
        <v>0</v>
      </c>
      <c r="N31" s="571" t="s">
        <v>77</v>
      </c>
      <c r="O31" s="497">
        <f>INDEX('Project List '!$AL$6:$AL$44, MATCH(B31,'Project List '!$B$6:$B$44,0))</f>
        <v>618</v>
      </c>
      <c r="P31" s="669">
        <f>INDEX('Project List '!$AM$6:$AM$44, MATCH(B31,'Project List '!$B$6:$B$44,0))</f>
        <v>4931206.625</v>
      </c>
    </row>
    <row r="32" spans="2:16" ht="23.25" customHeight="1">
      <c r="B32" s="429">
        <v>69</v>
      </c>
      <c r="C32" s="360" t="str">
        <f>INDEX('Project List '!$C$6:$C$44, MATCH('S-Collection'!B32,'Project List '!$B$6:$B$44,0))</f>
        <v>525 mm Gravity Sewer</v>
      </c>
      <c r="D32" s="361" t="str">
        <f>INDEX('Project List '!$E$6:$E$44, MATCH(B32,'Project List '!$B$6:$B$44,0))</f>
        <v>Others</v>
      </c>
      <c r="E32" s="361" t="str">
        <f>INDEX('Project List '!$F$6:$F$44, MATCH(B32,'Project List '!$B$6:$B$44,0))</f>
        <v>OSL</v>
      </c>
      <c r="F32" s="361">
        <f>INDEX('Project List '!$G$6:$G$44, MATCH(B32,'Project List '!$B$6:$B$44,0))</f>
        <v>2033</v>
      </c>
      <c r="G32" s="361">
        <f>INDEX('Project List '!$H$6:$H$44, MATCH(B32,'Project List '!$B$6:$B$44,0))</f>
        <v>2034</v>
      </c>
      <c r="H32" s="362">
        <f>INDEX('Project List '!$I$6:$I$44, MATCH(B32,'Project List '!$B$6:$B$44,0))</f>
        <v>1</v>
      </c>
      <c r="I32" s="362">
        <f>INDEX('Project List '!$J$6:$J$44, MATCH(B32,'Project List '!$B$6:$B$44,0))</f>
        <v>0</v>
      </c>
      <c r="J32" s="667">
        <f>INDEX('Project List '!$X$6:$X$44, MATCH(B32,'Project List '!$B$6:$B$44,0))</f>
        <v>718627.49999999977</v>
      </c>
      <c r="K32" s="667">
        <f>INDEX('Project List '!$AF$6:$AF$44, MATCH(B32,'Project List '!$B$6:$B$44,0))</f>
        <v>718627.49999999977</v>
      </c>
      <c r="L32" s="667">
        <f>INDEX('Project List '!$AI$6:$AI$44, MATCH(B32,'Project List '!$B$6:$B$44,0))</f>
        <v>718627.49999999977</v>
      </c>
      <c r="M32" s="363">
        <f>INDEX('Project List '!$AJ$6:$AJ$44, MATCH(B32,'Project List '!$B$6:$B$44,0))</f>
        <v>0</v>
      </c>
      <c r="N32" s="571" t="s">
        <v>77</v>
      </c>
      <c r="O32" s="497">
        <f>INDEX('Project List '!$AL$6:$AL$44, MATCH(B32,'Project List '!$B$6:$B$44,0))</f>
        <v>923</v>
      </c>
      <c r="P32" s="669">
        <f>INDEX('Project List '!$AM$6:$AM$44, MATCH(B32,'Project List '!$B$6:$B$44,0))</f>
        <v>190138</v>
      </c>
    </row>
    <row r="33" spans="2:16" ht="23.25" customHeight="1">
      <c r="B33" s="359">
        <v>42</v>
      </c>
      <c r="C33" s="360" t="str">
        <f>INDEX('Project List '!$C$6:$C$44, MATCH('S-Collection'!B33,'Project List '!$B$6:$B$44,0))</f>
        <v>375 mm Gravity Sewer</v>
      </c>
      <c r="D33" s="361" t="str">
        <f>INDEX('Project List '!$E$6:$E$44, MATCH(B33,'Project List '!$B$6:$B$44,0))</f>
        <v>Others</v>
      </c>
      <c r="E33" s="361" t="str">
        <f>INDEX('Project List '!$F$6:$F$44, MATCH(B33,'Project List '!$B$6:$B$44,0))</f>
        <v>OSL</v>
      </c>
      <c r="F33" s="361">
        <f>INDEX('Project List '!$G$6:$G$44, MATCH(B33,'Project List '!$B$6:$B$44,0))</f>
        <v>2034</v>
      </c>
      <c r="G33" s="361">
        <f>INDEX('Project List '!$H$6:$H$44, MATCH(B33,'Project List '!$B$6:$B$44,0))</f>
        <v>2035</v>
      </c>
      <c r="H33" s="362">
        <f>INDEX('Project List '!$I$6:$I$44, MATCH(B33,'Project List '!$B$6:$B$44,0))</f>
        <v>1</v>
      </c>
      <c r="I33" s="362">
        <f>INDEX('Project List '!$J$6:$J$44, MATCH(B33,'Project List '!$B$6:$B$44,0))</f>
        <v>0</v>
      </c>
      <c r="J33" s="667">
        <f>INDEX('Project List '!$X$6:$X$44, MATCH(B33,'Project List '!$B$6:$B$44,0))</f>
        <v>355111.24999999988</v>
      </c>
      <c r="K33" s="667">
        <f>INDEX('Project List '!$AF$6:$AF$44, MATCH(B33,'Project List '!$B$6:$B$44,0))</f>
        <v>355111.24999999988</v>
      </c>
      <c r="L33" s="667">
        <f>INDEX('Project List '!$AI$6:$AI$44, MATCH(B33,'Project List '!$B$6:$B$44,0))</f>
        <v>355111.24999999988</v>
      </c>
      <c r="M33" s="363">
        <f>INDEX('Project List '!$AJ$6:$AJ$44, MATCH(B33,'Project List '!$B$6:$B$44,0))</f>
        <v>0</v>
      </c>
      <c r="N33" s="571" t="s">
        <v>77</v>
      </c>
      <c r="O33" s="497">
        <f>INDEX('Project List '!$AL$6:$AL$44, MATCH(B33,'Project List '!$B$6:$B$44,0))</f>
        <v>619</v>
      </c>
      <c r="P33" s="669">
        <f>INDEX('Project List '!$AM$6:$AM$44, MATCH(B33,'Project List '!$B$6:$B$44,0))</f>
        <v>33426</v>
      </c>
    </row>
    <row r="34" spans="2:16" ht="23.25" customHeight="1">
      <c r="B34" s="359" t="s">
        <v>317</v>
      </c>
      <c r="C34" s="360" t="str">
        <f>INDEX('Project List '!$C$6:$C$44, MATCH('S-Collection'!B34,'Project List '!$B$6:$B$44,0))</f>
        <v>375 mm Gravity Sewer</v>
      </c>
      <c r="D34" s="361" t="str">
        <f>INDEX('Project List '!$E$6:$E$44, MATCH(B34,'Project List '!$B$6:$B$44,0))</f>
        <v>Others</v>
      </c>
      <c r="E34" s="361" t="str">
        <f>INDEX('Project List '!$F$6:$F$44, MATCH(B34,'Project List '!$B$6:$B$44,0))</f>
        <v>OSL</v>
      </c>
      <c r="F34" s="361">
        <f>INDEX('Project List '!$G$6:$G$44, MATCH(B34,'Project List '!$B$6:$B$44,0))</f>
        <v>2049</v>
      </c>
      <c r="G34" s="361">
        <f>INDEX('Project List '!$H$6:$H$44, MATCH(B34,'Project List '!$B$6:$B$44,0))</f>
        <v>2050</v>
      </c>
      <c r="H34" s="362">
        <f>INDEX('Project List '!$I$6:$I$44, MATCH(B34,'Project List '!$B$6:$B$44,0))</f>
        <v>1</v>
      </c>
      <c r="I34" s="362">
        <f>INDEX('Project List '!$J$6:$J$44, MATCH(B34,'Project List '!$B$6:$B$44,0))</f>
        <v>0</v>
      </c>
      <c r="J34" s="667">
        <f>INDEX('Project List '!$X$6:$X$44, MATCH(B34,'Project List '!$B$6:$B$44,0))</f>
        <v>631425.625</v>
      </c>
      <c r="K34" s="667">
        <f>INDEX('Project List '!$AF$6:$AF$44, MATCH(B34,'Project List '!$B$6:$B$44,0))</f>
        <v>631425.625</v>
      </c>
      <c r="L34" s="667">
        <f>INDEX('Project List '!$AI$6:$AI$44, MATCH(B34,'Project List '!$B$6:$B$44,0))</f>
        <v>631425.625</v>
      </c>
      <c r="M34" s="363">
        <f>INDEX('Project List '!$AJ$6:$AJ$44, MATCH(B34,'Project List '!$B$6:$B$44,0))</f>
        <v>0</v>
      </c>
      <c r="N34" s="571" t="s">
        <v>77</v>
      </c>
      <c r="O34" s="497">
        <f>INDEX('Project List '!$AL$6:$AL$44, MATCH(B34,'Project List '!$B$6:$B$44,0))</f>
        <v>1100</v>
      </c>
      <c r="P34" s="669">
        <f>INDEX('Project List '!$AM$6:$AM$44, MATCH(B34,'Project List '!$B$6:$B$44,0))</f>
        <v>59400</v>
      </c>
    </row>
    <row r="35" spans="2:16" ht="23.25" customHeight="1">
      <c r="B35" s="359" t="s">
        <v>318</v>
      </c>
      <c r="C35" s="360" t="str">
        <f>INDEX('Project List '!$C$6:$C$44, MATCH('S-Collection'!B35,'Project List '!$B$6:$B$44,0))</f>
        <v>375 mm Gravity Sewer</v>
      </c>
      <c r="D35" s="361" t="str">
        <f>INDEX('Project List '!$E$6:$E$44, MATCH(B35,'Project List '!$B$6:$B$44,0))</f>
        <v>Others</v>
      </c>
      <c r="E35" s="361" t="str">
        <f>INDEX('Project List '!$F$6:$F$44, MATCH(B35,'Project List '!$B$6:$B$44,0))</f>
        <v>OSL</v>
      </c>
      <c r="F35" s="361">
        <f>INDEX('Project List '!$G$6:$G$44, MATCH(B35,'Project List '!$B$6:$B$44,0))</f>
        <v>2049</v>
      </c>
      <c r="G35" s="361">
        <f>INDEX('Project List '!$H$6:$H$44, MATCH(B35,'Project List '!$B$6:$B$44,0))</f>
        <v>2050</v>
      </c>
      <c r="H35" s="362">
        <f>INDEX('Project List '!$I$6:$I$44, MATCH(B35,'Project List '!$B$6:$B$44,0))</f>
        <v>1</v>
      </c>
      <c r="I35" s="362">
        <f>INDEX('Project List '!$J$6:$J$44, MATCH(B35,'Project List '!$B$6:$B$44,0))</f>
        <v>0</v>
      </c>
      <c r="J35" s="667">
        <f>INDEX('Project List '!$X$6:$X$44, MATCH(B35,'Project List '!$B$6:$B$44,0))</f>
        <v>89303.124999999971</v>
      </c>
      <c r="K35" s="667">
        <f>INDEX('Project List '!$AF$6:$AF$44, MATCH(B35,'Project List '!$B$6:$B$44,0))</f>
        <v>89303.124999999971</v>
      </c>
      <c r="L35" s="667">
        <f>INDEX('Project List '!$AI$6:$AI$44, MATCH(B35,'Project List '!$B$6:$B$44,0))</f>
        <v>89303.124999999971</v>
      </c>
      <c r="M35" s="363">
        <f>INDEX('Project List '!$AJ$6:$AJ$44, MATCH(B35,'Project List '!$B$6:$B$44,0))</f>
        <v>0</v>
      </c>
      <c r="N35" s="571" t="s">
        <v>77</v>
      </c>
      <c r="O35" s="497">
        <f>INDEX('Project List '!$AL$6:$AL$44, MATCH(B35,'Project List '!$B$6:$B$44,0))</f>
        <v>155</v>
      </c>
      <c r="P35" s="669">
        <f>INDEX('Project List '!$AM$6:$AM$44, MATCH(B35,'Project List '!$B$6:$B$44,0))</f>
        <v>8370</v>
      </c>
    </row>
    <row r="36" spans="2:16" ht="23.25" customHeight="1">
      <c r="B36" s="359" t="s">
        <v>319</v>
      </c>
      <c r="C36" s="360" t="str">
        <f>INDEX('Project List '!$C$6:$C$44, MATCH('S-Collection'!B36,'Project List '!$B$6:$B$44,0))</f>
        <v>375 mm Gravity Sewer</v>
      </c>
      <c r="D36" s="361" t="str">
        <f>INDEX('Project List '!$E$6:$E$44, MATCH(B36,'Project List '!$B$6:$B$44,0))</f>
        <v>Others</v>
      </c>
      <c r="E36" s="361" t="str">
        <f>INDEX('Project List '!$F$6:$F$44, MATCH(B36,'Project List '!$B$6:$B$44,0))</f>
        <v>OSL</v>
      </c>
      <c r="F36" s="361">
        <f>INDEX('Project List '!$G$6:$G$44, MATCH(B36,'Project List '!$B$6:$B$44,0))</f>
        <v>2049</v>
      </c>
      <c r="G36" s="361">
        <f>INDEX('Project List '!$H$6:$H$44, MATCH(B36,'Project List '!$B$6:$B$44,0))</f>
        <v>2050</v>
      </c>
      <c r="H36" s="362">
        <f>INDEX('Project List '!$I$6:$I$44, MATCH(B36,'Project List '!$B$6:$B$44,0))</f>
        <v>1</v>
      </c>
      <c r="I36" s="362">
        <f>INDEX('Project List '!$J$6:$J$44, MATCH(B36,'Project List '!$B$6:$B$44,0))</f>
        <v>0</v>
      </c>
      <c r="J36" s="667">
        <f>INDEX('Project List '!$X$6:$X$44, MATCH(B36,'Project List '!$B$6:$B$44,0))</f>
        <v>433908.12499999988</v>
      </c>
      <c r="K36" s="667">
        <f>INDEX('Project List '!$AF$6:$AF$44, MATCH(B36,'Project List '!$B$6:$B$44,0))</f>
        <v>433908.12499999988</v>
      </c>
      <c r="L36" s="667">
        <f>INDEX('Project List '!$AI$6:$AI$44, MATCH(B36,'Project List '!$B$6:$B$44,0))</f>
        <v>433908.12499999988</v>
      </c>
      <c r="M36" s="363">
        <f>INDEX('Project List '!$AJ$6:$AJ$44, MATCH(B36,'Project List '!$B$6:$B$44,0))</f>
        <v>0</v>
      </c>
      <c r="N36" s="571" t="s">
        <v>77</v>
      </c>
      <c r="O36" s="497">
        <f>INDEX('Project List '!$AL$6:$AL$44, MATCH(B36,'Project List '!$B$6:$B$44,0))</f>
        <v>756</v>
      </c>
      <c r="P36" s="669">
        <f>INDEX('Project List '!$AM$6:$AM$44, MATCH(B36,'Project List '!$B$6:$B$44,0))</f>
        <v>40824</v>
      </c>
    </row>
    <row r="37" spans="2:16" ht="23.25" customHeight="1">
      <c r="B37" s="359" t="s">
        <v>320</v>
      </c>
      <c r="C37" s="360" t="str">
        <f>INDEX('Project List '!$C$6:$C$44, MATCH('S-Collection'!B37,'Project List '!$B$6:$B$44,0))</f>
        <v>375 mm Gravity Sewer</v>
      </c>
      <c r="D37" s="361" t="str">
        <f>INDEX('Project List '!$E$6:$E$44, MATCH(B37,'Project List '!$B$6:$B$44,0))</f>
        <v>Others</v>
      </c>
      <c r="E37" s="361" t="str">
        <f>INDEX('Project List '!$F$6:$F$44, MATCH(B37,'Project List '!$B$6:$B$44,0))</f>
        <v>OSL</v>
      </c>
      <c r="F37" s="361">
        <f>INDEX('Project List '!$G$6:$G$44, MATCH(B37,'Project List '!$B$6:$B$44,0))</f>
        <v>2049</v>
      </c>
      <c r="G37" s="361">
        <f>INDEX('Project List '!$H$6:$H$44, MATCH(B37,'Project List '!$B$6:$B$44,0))</f>
        <v>2050</v>
      </c>
      <c r="H37" s="362">
        <f>INDEX('Project List '!$I$6:$I$44, MATCH(B37,'Project List '!$B$6:$B$44,0))</f>
        <v>1</v>
      </c>
      <c r="I37" s="362">
        <f>INDEX('Project List '!$J$6:$J$44, MATCH(B37,'Project List '!$B$6:$B$44,0))</f>
        <v>0</v>
      </c>
      <c r="J37" s="667">
        <f>INDEX('Project List '!$X$6:$X$44, MATCH(B37,'Project List '!$B$6:$B$44,0))</f>
        <v>206973.12499999994</v>
      </c>
      <c r="K37" s="667">
        <f>INDEX('Project List '!$AF$6:$AF$44, MATCH(B37,'Project List '!$B$6:$B$44,0))</f>
        <v>206973.12499999994</v>
      </c>
      <c r="L37" s="667">
        <f>INDEX('Project List '!$AI$6:$AI$44, MATCH(B37,'Project List '!$B$6:$B$44,0))</f>
        <v>206973.12499999994</v>
      </c>
      <c r="M37" s="363">
        <f>INDEX('Project List '!$AJ$6:$AJ$44, MATCH(B37,'Project List '!$B$6:$B$44,0))</f>
        <v>0</v>
      </c>
      <c r="N37" s="571" t="s">
        <v>77</v>
      </c>
      <c r="O37" s="497">
        <f>INDEX('Project List '!$AL$6:$AL$44, MATCH(B37,'Project List '!$B$6:$B$44,0))</f>
        <v>361</v>
      </c>
      <c r="P37" s="669">
        <f>INDEX('Project List '!$AM$6:$AM$44, MATCH(B37,'Project List '!$B$6:$B$44,0))</f>
        <v>19494</v>
      </c>
    </row>
    <row r="38" spans="2:16" ht="23.25" customHeight="1">
      <c r="B38" s="359">
        <v>52</v>
      </c>
      <c r="C38" s="360" t="str">
        <f>INDEX('Project List '!$C$6:$C$44, MATCH('S-Collection'!B38,'Project List '!$B$6:$B$44,0))</f>
        <v>375 mm Gravity Sewer</v>
      </c>
      <c r="D38" s="361" t="str">
        <f>INDEX('Project List '!$E$6:$E$44, MATCH(B38,'Project List '!$B$6:$B$44,0))</f>
        <v>Others</v>
      </c>
      <c r="E38" s="361" t="str">
        <f>INDEX('Project List '!$F$6:$F$44, MATCH(B38,'Project List '!$B$6:$B$44,0))</f>
        <v>OSL</v>
      </c>
      <c r="F38" s="361">
        <f>INDEX('Project List '!$G$6:$G$44, MATCH(B38,'Project List '!$B$6:$B$44,0))</f>
        <v>2044</v>
      </c>
      <c r="G38" s="361">
        <f>INDEX('Project List '!$H$6:$H$44, MATCH(B38,'Project List '!$B$6:$B$44,0))</f>
        <v>2045</v>
      </c>
      <c r="H38" s="362">
        <f>INDEX('Project List '!$I$6:$I$44, MATCH(B38,'Project List '!$B$6:$B$44,0))</f>
        <v>1</v>
      </c>
      <c r="I38" s="362">
        <f>INDEX('Project List '!$J$6:$J$44, MATCH(B38,'Project List '!$B$6:$B$44,0))</f>
        <v>0</v>
      </c>
      <c r="J38" s="667">
        <f>INDEX('Project List '!$X$6:$X$44, MATCH(B38,'Project List '!$B$6:$B$44,0))</f>
        <v>465426.87499999988</v>
      </c>
      <c r="K38" s="667">
        <f>INDEX('Project List '!$AF$6:$AF$44, MATCH(B38,'Project List '!$B$6:$B$44,0))</f>
        <v>465426.87499999988</v>
      </c>
      <c r="L38" s="667">
        <f>INDEX('Project List '!$AI$6:$AI$44, MATCH(B38,'Project List '!$B$6:$B$44,0))</f>
        <v>465426.87499999988</v>
      </c>
      <c r="M38" s="363">
        <f>INDEX('Project List '!$AJ$6:$AJ$44, MATCH(B38,'Project List '!$B$6:$B$44,0))</f>
        <v>0</v>
      </c>
      <c r="N38" s="571" t="s">
        <v>77</v>
      </c>
      <c r="O38" s="497">
        <f>INDEX('Project List '!$AL$6:$AL$44, MATCH(B38,'Project List '!$B$6:$B$44,0))</f>
        <v>810</v>
      </c>
      <c r="P38" s="669">
        <f>INDEX('Project List '!$AM$6:$AM$44, MATCH(B38,'Project List '!$B$6:$B$44,0))</f>
        <v>43740</v>
      </c>
    </row>
    <row r="39" spans="2:16" ht="23.1" customHeight="1">
      <c r="B39" s="359">
        <v>54</v>
      </c>
      <c r="C39" s="360" t="str">
        <f>INDEX('Project List '!$C$6:$C$44, MATCH('S-Collection'!B39,'Project List '!$B$6:$B$44,0))</f>
        <v>375 mm Gravity Sewer</v>
      </c>
      <c r="D39" s="361" t="str">
        <f>INDEX('Project List '!$E$6:$E$44, MATCH(B39,'Project List '!$B$6:$B$44,0))</f>
        <v>Others</v>
      </c>
      <c r="E39" s="361" t="str">
        <f>INDEX('Project List '!$F$6:$F$44, MATCH(B39,'Project List '!$B$6:$B$44,0))</f>
        <v>OSL</v>
      </c>
      <c r="F39" s="361">
        <f>INDEX('Project List '!$G$6:$G$44, MATCH(B39,'Project List '!$B$6:$B$44,0))</f>
        <v>2028</v>
      </c>
      <c r="G39" s="361">
        <f>INDEX('Project List '!$H$6:$H$44, MATCH(B39,'Project List '!$B$6:$B$44,0))</f>
        <v>2029</v>
      </c>
      <c r="H39" s="362">
        <f>INDEX('Project List '!$I$6:$I$44, MATCH(B39,'Project List '!$B$6:$B$44,0))</f>
        <v>1</v>
      </c>
      <c r="I39" s="362">
        <f>INDEX('Project List '!$J$6:$J$44, MATCH(B39,'Project List '!$B$6:$B$44,0))</f>
        <v>0</v>
      </c>
      <c r="J39" s="667">
        <f>INDEX('Project List '!$X$6:$X$44, MATCH(B39,'Project List '!$B$6:$B$44,0))</f>
        <v>235339.99999999994</v>
      </c>
      <c r="K39" s="667">
        <f>INDEX('Project List '!$AF$6:$AF$44, MATCH(B39,'Project List '!$B$6:$B$44,0))</f>
        <v>235339.99999999994</v>
      </c>
      <c r="L39" s="667">
        <f>INDEX('Project List '!$AI$6:$AI$44, MATCH(B39,'Project List '!$B$6:$B$44,0))</f>
        <v>235339.99999999994</v>
      </c>
      <c r="M39" s="363">
        <f>INDEX('Project List '!$AJ$6:$AJ$44, MATCH(B39,'Project List '!$B$6:$B$44,0))</f>
        <v>0</v>
      </c>
      <c r="N39" s="571" t="s">
        <v>77</v>
      </c>
      <c r="O39" s="497">
        <f>INDEX('Project List '!$AL$6:$AL$44, MATCH(B39,'Project List '!$B$6:$B$44,0))</f>
        <v>411</v>
      </c>
      <c r="P39" s="669">
        <f>INDEX('Project List '!$AM$6:$AM$44, MATCH(B39,'Project List '!$B$6:$B$44,0))</f>
        <v>22194</v>
      </c>
    </row>
    <row r="40" spans="2:16" ht="23.25" customHeight="1">
      <c r="B40" s="359">
        <v>57</v>
      </c>
      <c r="C40" s="360" t="str">
        <f>INDEX('Project List '!$C$6:$C$44, MATCH('S-Collection'!B40,'Project List '!$B$6:$B$44,0))</f>
        <v>375 mm Gravity Sewer</v>
      </c>
      <c r="D40" s="361" t="str">
        <f>INDEX('Project List '!$E$6:$E$44, MATCH(B40,'Project List '!$B$6:$B$44,0))</f>
        <v>Others</v>
      </c>
      <c r="E40" s="361" t="str">
        <f>INDEX('Project List '!$F$6:$F$44, MATCH(B40,'Project List '!$B$6:$B$44,0))</f>
        <v>OSL</v>
      </c>
      <c r="F40" s="361">
        <f>INDEX('Project List '!$G$6:$G$44, MATCH(B40,'Project List '!$B$6:$B$44,0))</f>
        <v>2028</v>
      </c>
      <c r="G40" s="361">
        <f>INDEX('Project List '!$H$6:$H$44, MATCH(B40,'Project List '!$B$6:$B$44,0))</f>
        <v>2029</v>
      </c>
      <c r="H40" s="362">
        <f>INDEX('Project List '!$I$6:$I$44, MATCH(B40,'Project List '!$B$6:$B$44,0))</f>
        <v>1</v>
      </c>
      <c r="I40" s="362">
        <f>INDEX('Project List '!$J$6:$J$44, MATCH(B40,'Project List '!$B$6:$B$44,0))</f>
        <v>0</v>
      </c>
      <c r="J40" s="667">
        <f>INDEX('Project List '!$X$6:$X$44, MATCH(B40,'Project List '!$B$6:$B$44,0))</f>
        <v>300478.75</v>
      </c>
      <c r="K40" s="667">
        <f>INDEX('Project List '!$AF$6:$AF$44, MATCH(B40,'Project List '!$B$6:$B$44,0))</f>
        <v>300478.75</v>
      </c>
      <c r="L40" s="667">
        <f>INDEX('Project List '!$AI$6:$AI$44, MATCH(B40,'Project List '!$B$6:$B$44,0))</f>
        <v>300478.75</v>
      </c>
      <c r="M40" s="363">
        <f>INDEX('Project List '!$AJ$6:$AJ$44, MATCH(B40,'Project List '!$B$6:$B$44,0))</f>
        <v>0</v>
      </c>
      <c r="N40" s="571" t="s">
        <v>77</v>
      </c>
      <c r="O40" s="497">
        <f>INDEX('Project List '!$AL$6:$AL$44, MATCH(B40,'Project List '!$B$6:$B$44,0))</f>
        <v>525</v>
      </c>
      <c r="P40" s="669">
        <f>INDEX('Project List '!$AM$6:$AM$44, MATCH(B40,'Project List '!$B$6:$B$44,0))</f>
        <v>28350</v>
      </c>
    </row>
    <row r="41" spans="2:16" ht="23.25" customHeight="1" thickBot="1">
      <c r="B41" s="707">
        <v>64</v>
      </c>
      <c r="C41" s="708" t="str">
        <f>INDEX('Project List '!$C$6:$C$44, MATCH('S-Collection'!B41,'Project List '!$B$6:$B$44,0))</f>
        <v>375 mm Gravity Sewer</v>
      </c>
      <c r="D41" s="709" t="str">
        <f>INDEX('Project List '!$E$6:$E$44, MATCH(B41,'Project List '!$B$6:$B$44,0))</f>
        <v>Others</v>
      </c>
      <c r="E41" s="709" t="str">
        <f>INDEX('Project List '!$F$6:$F$44, MATCH(B41,'Project List '!$B$6:$B$44,0))</f>
        <v>OSL</v>
      </c>
      <c r="F41" s="709">
        <f>INDEX('Project List '!$G$6:$G$44, MATCH(B41,'Project List '!$B$6:$B$44,0))</f>
        <v>2034</v>
      </c>
      <c r="G41" s="709">
        <f>INDEX('Project List '!$H$6:$H$44, MATCH(B41,'Project List '!$B$6:$B$44,0))</f>
        <v>2035</v>
      </c>
      <c r="H41" s="710">
        <f>INDEX('Project List '!$I$6:$I$44, MATCH(B41,'Project List '!$B$6:$B$44,0))</f>
        <v>1</v>
      </c>
      <c r="I41" s="710">
        <f>INDEX('Project List '!$J$6:$J$44, MATCH(B41,'Project List '!$B$6:$B$44,0))</f>
        <v>0</v>
      </c>
      <c r="J41" s="640">
        <f>INDEX('Project List '!$X$6:$X$44, MATCH(B41,'Project List '!$B$6:$B$44,0))</f>
        <v>510603.74999999988</v>
      </c>
      <c r="K41" s="640">
        <f>INDEX('Project List '!$AF$6:$AF$44, MATCH(B41,'Project List '!$B$6:$B$44,0))</f>
        <v>510603.74999999988</v>
      </c>
      <c r="L41" s="640">
        <f>INDEX('Project List '!$AI$6:$AI$44, MATCH(B41,'Project List '!$B$6:$B$44,0))</f>
        <v>510603.74999999988</v>
      </c>
      <c r="M41" s="711">
        <f>INDEX('Project List '!$AJ$6:$AJ$44, MATCH(B41,'Project List '!$B$6:$B$44,0))</f>
        <v>0</v>
      </c>
      <c r="N41" s="712" t="s">
        <v>77</v>
      </c>
      <c r="O41" s="526">
        <f>INDEX('Project List '!$AL$6:$AL$44, MATCH(B41,'Project List '!$B$6:$B$44,0))</f>
        <v>891</v>
      </c>
      <c r="P41" s="641">
        <f>INDEX('Project List '!$AM$6:$AM$44, MATCH(B41,'Project List '!$B$6:$B$44,0))</f>
        <v>48114</v>
      </c>
    </row>
    <row r="42" spans="2:16">
      <c r="B42" s="427"/>
      <c r="C42" s="427"/>
      <c r="D42" s="427"/>
      <c r="E42" s="427"/>
      <c r="F42" s="427"/>
      <c r="G42" s="427"/>
      <c r="H42" s="427"/>
      <c r="I42" s="704"/>
      <c r="J42" s="705">
        <f>SUM(J20:J41)</f>
        <v>16164916.25</v>
      </c>
      <c r="K42" s="705">
        <f t="shared" ref="K42:L42" si="0">SUM(K20:K41)</f>
        <v>16164916.25</v>
      </c>
      <c r="L42" s="705">
        <f t="shared" si="0"/>
        <v>16164916.25</v>
      </c>
      <c r="M42" s="705"/>
      <c r="N42" s="706"/>
      <c r="O42" s="706"/>
      <c r="P42" s="706">
        <f>SUM(P20:P41)</f>
        <v>8901821</v>
      </c>
    </row>
    <row r="43" spans="2:16">
      <c r="I43" s="80"/>
      <c r="J43" s="80"/>
      <c r="K43" s="80"/>
      <c r="L43" s="81"/>
      <c r="M43" s="81"/>
      <c r="N43" s="81"/>
      <c r="O43" s="81"/>
      <c r="P43" s="82"/>
    </row>
    <row r="44" spans="2:16">
      <c r="I44" s="80"/>
      <c r="J44" s="80"/>
      <c r="K44" s="80"/>
      <c r="L44" s="594"/>
      <c r="M44" s="595"/>
      <c r="N44" s="81"/>
      <c r="O44" s="81"/>
      <c r="P44" s="81"/>
    </row>
    <row r="45" spans="2:16" hidden="1">
      <c r="D45" s="79"/>
    </row>
    <row r="46" spans="2:16" hidden="1">
      <c r="B46" s="64" t="s">
        <v>138</v>
      </c>
      <c r="D46" s="69"/>
      <c r="E46" s="69"/>
    </row>
    <row r="47" spans="2:16" ht="27" hidden="1" customHeight="1">
      <c r="B47" s="73" t="s">
        <v>56</v>
      </c>
      <c r="C47" s="74" t="s">
        <v>57</v>
      </c>
      <c r="D47" s="75" t="s">
        <v>180</v>
      </c>
      <c r="E47" s="806" t="s">
        <v>179</v>
      </c>
      <c r="F47" s="806"/>
    </row>
    <row r="48" spans="2:16" hidden="1">
      <c r="B48" s="68" t="s">
        <v>98</v>
      </c>
      <c r="C48" s="69" t="s">
        <v>63</v>
      </c>
      <c r="D48" s="187"/>
      <c r="E48" s="807"/>
      <c r="F48" s="807"/>
    </row>
    <row r="49" spans="2:6" hidden="1">
      <c r="B49" s="68">
        <v>15</v>
      </c>
      <c r="C49" s="69" t="s">
        <v>99</v>
      </c>
      <c r="D49" s="187"/>
      <c r="E49" s="807"/>
      <c r="F49" s="807"/>
    </row>
    <row r="50" spans="2:6" hidden="1">
      <c r="B50" s="68" t="s">
        <v>100</v>
      </c>
      <c r="C50" s="69" t="s">
        <v>101</v>
      </c>
      <c r="D50" s="187"/>
      <c r="E50" s="807"/>
      <c r="F50" s="807"/>
    </row>
    <row r="51" spans="2:6" hidden="1">
      <c r="B51" s="68" t="s">
        <v>102</v>
      </c>
      <c r="C51" s="69" t="s">
        <v>103</v>
      </c>
      <c r="D51" s="187"/>
      <c r="E51" s="807"/>
      <c r="F51" s="807"/>
    </row>
    <row r="52" spans="2:6" hidden="1">
      <c r="B52" s="68">
        <v>45</v>
      </c>
      <c r="C52" s="69" t="s">
        <v>64</v>
      </c>
      <c r="D52" s="187"/>
      <c r="E52" s="807"/>
      <c r="F52" s="807"/>
    </row>
    <row r="53" spans="2:6" hidden="1">
      <c r="B53" s="68" t="s">
        <v>58</v>
      </c>
      <c r="C53" s="69" t="s">
        <v>65</v>
      </c>
      <c r="D53" s="187"/>
      <c r="E53" s="807"/>
      <c r="F53" s="807"/>
    </row>
    <row r="54" spans="2:6" hidden="1">
      <c r="B54" s="68">
        <v>46</v>
      </c>
      <c r="C54" s="69" t="s">
        <v>66</v>
      </c>
      <c r="D54" s="187"/>
      <c r="E54" s="807"/>
      <c r="F54" s="807"/>
    </row>
    <row r="55" spans="2:6" hidden="1">
      <c r="B55" s="68">
        <v>47</v>
      </c>
      <c r="C55" s="69" t="s">
        <v>67</v>
      </c>
      <c r="D55" s="187"/>
      <c r="E55" s="808"/>
      <c r="F55" s="808"/>
    </row>
    <row r="56" spans="2:6" ht="12.6" hidden="1" thickBot="1">
      <c r="B56" s="71">
        <v>68</v>
      </c>
      <c r="C56" s="72" t="s">
        <v>75</v>
      </c>
      <c r="D56" s="188"/>
      <c r="E56" s="809"/>
      <c r="F56" s="809"/>
    </row>
    <row r="57" spans="2:6" ht="12.6" hidden="1" thickTop="1">
      <c r="D57" s="140"/>
      <c r="E57" s="810"/>
      <c r="F57" s="810"/>
    </row>
    <row r="58" spans="2:6" hidden="1"/>
    <row r="59" spans="2:6" hidden="1">
      <c r="B59" s="68" t="s">
        <v>104</v>
      </c>
      <c r="C59" s="69" t="s">
        <v>105</v>
      </c>
      <c r="D59" s="198"/>
      <c r="E59" s="807"/>
      <c r="F59" s="807"/>
    </row>
    <row r="60" spans="2:6" hidden="1">
      <c r="B60" s="68">
        <v>48</v>
      </c>
      <c r="C60" s="69" t="s">
        <v>68</v>
      </c>
      <c r="D60" s="198"/>
      <c r="E60" s="807"/>
      <c r="F60" s="807"/>
    </row>
    <row r="61" spans="2:6" hidden="1">
      <c r="B61" s="68" t="s">
        <v>59</v>
      </c>
      <c r="C61" s="69" t="s">
        <v>69</v>
      </c>
      <c r="D61" s="198"/>
      <c r="E61" s="807"/>
      <c r="F61" s="807"/>
    </row>
    <row r="62" spans="2:6" hidden="1">
      <c r="B62" s="68" t="s">
        <v>60</v>
      </c>
      <c r="C62" s="69" t="s">
        <v>69</v>
      </c>
      <c r="D62" s="198"/>
      <c r="E62" s="807"/>
      <c r="F62" s="807"/>
    </row>
    <row r="63" spans="2:6" hidden="1">
      <c r="B63" s="68">
        <v>51</v>
      </c>
      <c r="C63" s="69" t="s">
        <v>70</v>
      </c>
      <c r="D63" s="198"/>
      <c r="E63" s="807"/>
      <c r="F63" s="807"/>
    </row>
    <row r="64" spans="2:6" hidden="1">
      <c r="B64" s="68" t="s">
        <v>61</v>
      </c>
      <c r="C64" s="69" t="s">
        <v>71</v>
      </c>
      <c r="D64" s="198"/>
      <c r="E64" s="807"/>
      <c r="F64" s="807"/>
    </row>
    <row r="65" spans="2:6" hidden="1">
      <c r="B65" s="68" t="s">
        <v>62</v>
      </c>
      <c r="C65" s="69" t="s">
        <v>71</v>
      </c>
      <c r="D65" s="198"/>
      <c r="E65" s="807"/>
      <c r="F65" s="807"/>
    </row>
    <row r="66" spans="2:6" hidden="1">
      <c r="B66" s="68">
        <v>55</v>
      </c>
      <c r="C66" s="69" t="s">
        <v>70</v>
      </c>
      <c r="D66" s="198"/>
      <c r="E66" s="807"/>
      <c r="F66" s="807"/>
    </row>
    <row r="67" spans="2:6" hidden="1">
      <c r="B67" s="68">
        <v>59</v>
      </c>
      <c r="C67" s="69" t="s">
        <v>72</v>
      </c>
      <c r="D67" s="198"/>
      <c r="E67" s="807"/>
      <c r="F67" s="807"/>
    </row>
    <row r="68" spans="2:6" hidden="1">
      <c r="B68" s="68">
        <v>60</v>
      </c>
      <c r="C68" s="69" t="s">
        <v>73</v>
      </c>
      <c r="D68" s="198"/>
      <c r="E68" s="807"/>
      <c r="F68" s="807"/>
    </row>
    <row r="69" spans="2:6" hidden="1">
      <c r="B69" s="68">
        <v>61</v>
      </c>
      <c r="C69" s="69" t="s">
        <v>74</v>
      </c>
      <c r="D69" s="198"/>
      <c r="E69" s="807"/>
      <c r="F69" s="807"/>
    </row>
    <row r="70" spans="2:6" hidden="1">
      <c r="B70" s="68">
        <v>65</v>
      </c>
      <c r="C70" s="69" t="s">
        <v>69</v>
      </c>
      <c r="D70" s="198"/>
      <c r="E70" s="807"/>
      <c r="F70" s="807"/>
    </row>
    <row r="71" spans="2:6" ht="12.6" hidden="1" thickBot="1">
      <c r="B71" s="71">
        <v>69</v>
      </c>
      <c r="C71" s="72" t="s">
        <v>71</v>
      </c>
      <c r="D71" s="199"/>
      <c r="E71" s="809"/>
      <c r="F71" s="809"/>
    </row>
    <row r="72" spans="2:6" ht="12.6" hidden="1" thickTop="1">
      <c r="D72" s="140"/>
      <c r="E72" s="810"/>
      <c r="F72" s="810"/>
    </row>
    <row r="73" spans="2:6" hidden="1"/>
  </sheetData>
  <mergeCells count="38">
    <mergeCell ref="E57:F57"/>
    <mergeCell ref="E68:F68"/>
    <mergeCell ref="E69:F69"/>
    <mergeCell ref="E70:F70"/>
    <mergeCell ref="E71:F71"/>
    <mergeCell ref="E59:F59"/>
    <mergeCell ref="E60:F60"/>
    <mergeCell ref="E61:F61"/>
    <mergeCell ref="E62:F62"/>
    <mergeCell ref="E72:F72"/>
    <mergeCell ref="E63:F63"/>
    <mergeCell ref="E64:F64"/>
    <mergeCell ref="E65:F65"/>
    <mergeCell ref="E66:F66"/>
    <mergeCell ref="E67:F67"/>
    <mergeCell ref="E52:F52"/>
    <mergeCell ref="E53:F53"/>
    <mergeCell ref="E54:F54"/>
    <mergeCell ref="E55:F55"/>
    <mergeCell ref="E56:F56"/>
    <mergeCell ref="E47:F47"/>
    <mergeCell ref="E48:F48"/>
    <mergeCell ref="E49:F49"/>
    <mergeCell ref="E50:F50"/>
    <mergeCell ref="E51:F51"/>
    <mergeCell ref="O18:P18"/>
    <mergeCell ref="B18:C18"/>
    <mergeCell ref="D18:E18"/>
    <mergeCell ref="F18:G18"/>
    <mergeCell ref="H18:I18"/>
    <mergeCell ref="J18:K18"/>
    <mergeCell ref="L18:M18"/>
    <mergeCell ref="L4:M4"/>
    <mergeCell ref="B4:C4"/>
    <mergeCell ref="D4:E4"/>
    <mergeCell ref="F4:G4"/>
    <mergeCell ref="H4:I4"/>
    <mergeCell ref="J4:K4"/>
  </mergeCells>
  <conditionalFormatting sqref="N7:N13 N20:N41">
    <cfRule type="cellIs" dxfId="0" priority="1" operator="equal">
      <formula>"""Yes"""</formula>
    </cfRule>
  </conditionalFormatting>
  <dataValidations disablePrompts="1" count="1">
    <dataValidation type="list" allowBlank="1" showInputMessage="1" showErrorMessage="1" sqref="N7:N13 N20:N41" xr:uid="{180BFE42-BA93-4B7E-86E2-5BFECDB1D41E}">
      <formula1>"Yes,No"</formula1>
    </dataValidation>
  </dataValidations>
  <pageMargins left="0.25" right="0.25" top="0.75" bottom="0.75" header="0.3" footer="0.3"/>
  <pageSetup paperSize="4" scale="30"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2034F2-844F-4E82-907F-D49CF1F1020B}">
  <sheetPr codeName="Sheet68">
    <tabColor rgb="FFC00000"/>
  </sheetPr>
  <dimension ref="A3:BU83"/>
  <sheetViews>
    <sheetView showGridLines="0" topLeftCell="A9" zoomScale="70" zoomScaleNormal="70" workbookViewId="0">
      <selection activeCell="F51" sqref="F51"/>
    </sheetView>
  </sheetViews>
  <sheetFormatPr defaultColWidth="9.109375" defaultRowHeight="14.4"/>
  <cols>
    <col min="1" max="1" width="36" customWidth="1"/>
    <col min="2" max="2" width="60.5546875" customWidth="1"/>
    <col min="3" max="3" width="16.6640625" customWidth="1"/>
    <col min="4" max="5" width="19.5546875" customWidth="1"/>
    <col min="6" max="6" width="25.44140625" customWidth="1"/>
    <col min="7" max="9" width="23.109375" style="1" customWidth="1"/>
    <col min="10" max="12" width="25.109375" customWidth="1"/>
    <col min="13" max="13" width="18.6640625" customWidth="1"/>
    <col min="14" max="14" width="23.21875" customWidth="1"/>
    <col min="15" max="15" width="26.21875" customWidth="1"/>
    <col min="16" max="16" width="23.88671875" customWidth="1"/>
    <col min="17" max="17" width="22.5546875" customWidth="1"/>
    <col min="18" max="18" width="20.109375" customWidth="1"/>
    <col min="19" max="19" width="17.88671875" customWidth="1"/>
    <col min="20" max="20" width="18.21875" customWidth="1"/>
    <col min="21" max="21" width="16.88671875" customWidth="1"/>
    <col min="22" max="22" width="20" customWidth="1"/>
    <col min="23" max="23" width="18.21875" customWidth="1"/>
    <col min="24" max="24" width="19.5546875" customWidth="1"/>
    <col min="25" max="25" width="18.6640625" customWidth="1"/>
    <col min="26" max="26" width="20" customWidth="1"/>
    <col min="27" max="27" width="17.109375" customWidth="1"/>
    <col min="28" max="28" width="16.44140625" customWidth="1"/>
    <col min="29" max="29" width="15.44140625" customWidth="1"/>
    <col min="30" max="30" width="16" customWidth="1"/>
    <col min="31" max="31" width="15.88671875" customWidth="1"/>
    <col min="32" max="34" width="18.21875" customWidth="1"/>
    <col min="35" max="35" width="17.44140625" customWidth="1"/>
    <col min="36" max="36" width="19.5546875" customWidth="1"/>
    <col min="37" max="37" width="17.44140625" customWidth="1"/>
    <col min="38" max="38" width="16.44140625" customWidth="1"/>
    <col min="39" max="73" width="18.88671875" customWidth="1"/>
    <col min="74" max="74" width="20.21875" customWidth="1"/>
    <col min="75" max="75" width="18.88671875" customWidth="1"/>
    <col min="76" max="76" width="20" customWidth="1"/>
    <col min="77" max="77" width="17.109375" customWidth="1"/>
    <col min="78" max="78" width="20.21875" customWidth="1"/>
    <col min="79" max="79" width="16.88671875" customWidth="1"/>
    <col min="80" max="80" width="16.21875" customWidth="1"/>
    <col min="81" max="81" width="21.109375" customWidth="1"/>
    <col min="82" max="82" width="19.109375" customWidth="1"/>
  </cols>
  <sheetData>
    <row r="3" spans="1:73" ht="15.6">
      <c r="B3" s="794" t="s">
        <v>129</v>
      </c>
      <c r="C3" s="794"/>
      <c r="D3" s="794"/>
      <c r="E3" s="794"/>
      <c r="F3" s="794"/>
      <c r="G3" s="794"/>
      <c r="H3" s="794"/>
      <c r="I3" s="794"/>
      <c r="J3" s="794"/>
      <c r="K3" s="17"/>
      <c r="L3" s="17"/>
      <c r="M3" s="2"/>
      <c r="N3" s="29"/>
      <c r="O3" s="30"/>
      <c r="P3" s="30"/>
      <c r="Q3" s="31"/>
      <c r="R3" s="29"/>
      <c r="S3" s="32"/>
      <c r="T3" s="32"/>
      <c r="U3" s="32"/>
      <c r="V3" s="32"/>
      <c r="W3" s="32"/>
      <c r="X3" s="32"/>
      <c r="Y3" s="32"/>
      <c r="Z3" s="32"/>
      <c r="AA3" s="32"/>
      <c r="AB3" s="32"/>
      <c r="AC3" s="32"/>
      <c r="AD3" s="32"/>
      <c r="AE3" s="32"/>
      <c r="AF3" s="32"/>
      <c r="AG3" s="32"/>
      <c r="AH3" s="32"/>
      <c r="AI3" s="32"/>
      <c r="AJ3" s="32"/>
      <c r="AK3" s="32"/>
      <c r="AL3" s="32"/>
      <c r="AM3" s="32"/>
      <c r="AN3" s="32"/>
      <c r="AO3" s="32"/>
      <c r="AP3" s="32"/>
      <c r="AQ3" s="32"/>
      <c r="AR3" s="32"/>
      <c r="AS3" s="32"/>
      <c r="AT3" s="32"/>
      <c r="AU3" s="32"/>
      <c r="AV3" s="32"/>
      <c r="AW3" s="32"/>
      <c r="AX3" s="32"/>
      <c r="AY3" s="32"/>
      <c r="AZ3" s="32"/>
      <c r="BA3" s="32"/>
      <c r="BB3" s="32"/>
      <c r="BC3" s="32"/>
      <c r="BD3" s="32"/>
      <c r="BE3" s="32"/>
      <c r="BF3" s="32"/>
      <c r="BG3" s="32"/>
      <c r="BH3" s="32"/>
      <c r="BI3" s="32"/>
      <c r="BJ3" s="32"/>
      <c r="BK3" s="32"/>
      <c r="BL3" s="32"/>
      <c r="BM3" s="32"/>
      <c r="BN3" s="32"/>
      <c r="BO3" s="32"/>
      <c r="BP3" s="32"/>
      <c r="BQ3" s="32"/>
      <c r="BR3" s="32"/>
      <c r="BS3" s="32"/>
      <c r="BT3" s="32"/>
      <c r="BU3" s="32"/>
    </row>
    <row r="4" spans="1:73" ht="15.6">
      <c r="B4" s="794" t="s">
        <v>32</v>
      </c>
      <c r="C4" s="794"/>
      <c r="D4" s="794"/>
      <c r="E4" s="794"/>
      <c r="F4" s="794"/>
      <c r="G4" s="794"/>
      <c r="H4" s="794"/>
      <c r="I4" s="794"/>
      <c r="J4" s="794"/>
      <c r="K4" s="17"/>
      <c r="L4" s="17"/>
      <c r="M4" s="17"/>
      <c r="N4" s="29"/>
      <c r="O4" s="30"/>
      <c r="P4" s="30"/>
      <c r="Q4" s="31"/>
      <c r="R4" s="29"/>
      <c r="S4" s="32"/>
      <c r="T4" s="32"/>
      <c r="U4" s="32"/>
      <c r="V4" s="32"/>
      <c r="W4" s="32"/>
      <c r="X4" s="32"/>
      <c r="Y4" s="32"/>
      <c r="Z4" s="32"/>
      <c r="AA4" s="32"/>
      <c r="AB4" s="32"/>
      <c r="AC4" s="32"/>
      <c r="AD4" s="32"/>
      <c r="AE4" s="32"/>
      <c r="AF4" s="32"/>
      <c r="AG4" s="32"/>
      <c r="AH4" s="32"/>
      <c r="AI4" s="32"/>
      <c r="AJ4" s="32"/>
      <c r="AK4" s="32"/>
      <c r="AL4" s="32"/>
      <c r="AM4" s="32"/>
      <c r="AN4" s="32"/>
      <c r="AO4" s="32"/>
      <c r="AP4" s="32"/>
      <c r="AQ4" s="32"/>
      <c r="AR4" s="32"/>
      <c r="AS4" s="32"/>
      <c r="AT4" s="32"/>
      <c r="AU4" s="32"/>
      <c r="AV4" s="32"/>
      <c r="AW4" s="32"/>
      <c r="AX4" s="32"/>
      <c r="AY4" s="32"/>
      <c r="AZ4" s="32"/>
      <c r="BA4" s="32"/>
      <c r="BB4" s="32"/>
      <c r="BC4" s="32"/>
      <c r="BD4" s="32"/>
      <c r="BE4" s="32"/>
      <c r="BF4" s="32"/>
      <c r="BG4" s="32"/>
      <c r="BH4" s="32"/>
      <c r="BI4" s="32"/>
      <c r="BJ4" s="32"/>
      <c r="BK4" s="32"/>
      <c r="BL4" s="32"/>
      <c r="BM4" s="32"/>
      <c r="BN4" s="32"/>
      <c r="BO4" s="32"/>
      <c r="BP4" s="32"/>
      <c r="BQ4" s="32"/>
      <c r="BR4" s="32"/>
      <c r="BS4" s="32"/>
      <c r="BT4" s="32"/>
      <c r="BU4" s="32"/>
    </row>
    <row r="5" spans="1:73" ht="15.6">
      <c r="B5" s="794" t="str">
        <f>Assumptions!B3&amp;" $s"</f>
        <v>2026 $s</v>
      </c>
      <c r="C5" s="794"/>
      <c r="D5" s="794"/>
      <c r="E5" s="794"/>
      <c r="F5" s="794"/>
      <c r="G5" s="794"/>
      <c r="H5" s="794"/>
      <c r="I5" s="794"/>
      <c r="J5" s="794"/>
      <c r="K5" s="17"/>
      <c r="L5" s="17"/>
      <c r="M5" s="54"/>
      <c r="N5" s="29"/>
      <c r="O5" s="30"/>
      <c r="P5" s="30"/>
      <c r="Q5" s="31"/>
      <c r="R5" s="29"/>
      <c r="S5" s="32"/>
      <c r="T5" s="32"/>
      <c r="U5" s="32"/>
      <c r="V5" s="32"/>
      <c r="W5" s="32"/>
      <c r="X5" s="32"/>
      <c r="Y5" s="32"/>
      <c r="Z5" s="32"/>
      <c r="AA5" s="32"/>
      <c r="AB5" s="32"/>
      <c r="AC5" s="32"/>
      <c r="AD5" s="32"/>
      <c r="AE5" s="32"/>
      <c r="AF5" s="32"/>
      <c r="AG5" s="32"/>
      <c r="AH5" s="32"/>
      <c r="AI5" s="32"/>
      <c r="AJ5" s="32"/>
      <c r="AK5" s="32"/>
      <c r="AL5" s="32"/>
      <c r="AM5" s="32"/>
      <c r="AN5" s="32"/>
      <c r="AO5" s="32"/>
      <c r="AP5" s="32"/>
      <c r="AQ5" s="32"/>
      <c r="AR5" s="32"/>
      <c r="AS5" s="32"/>
      <c r="AT5" s="32"/>
      <c r="AU5" s="32"/>
      <c r="AV5" s="32"/>
      <c r="AW5" s="32"/>
      <c r="AX5" s="32"/>
      <c r="AY5" s="32"/>
      <c r="AZ5" s="32"/>
      <c r="BA5" s="32"/>
      <c r="BB5" s="32"/>
      <c r="BC5" s="32"/>
      <c r="BD5" s="32"/>
      <c r="BE5" s="32"/>
      <c r="BF5" s="32"/>
      <c r="BG5" s="32"/>
      <c r="BH5" s="32"/>
      <c r="BI5" s="32"/>
      <c r="BJ5" s="32"/>
      <c r="BK5" s="32"/>
      <c r="BL5" s="32"/>
      <c r="BM5" s="32"/>
      <c r="BN5" s="32"/>
      <c r="BO5" s="32"/>
      <c r="BP5" s="32"/>
      <c r="BQ5" s="32"/>
      <c r="BR5" s="32"/>
      <c r="BS5" s="32"/>
      <c r="BT5" s="32"/>
      <c r="BU5" s="32"/>
    </row>
    <row r="6" spans="1:73" ht="15.6" hidden="1">
      <c r="K6" s="17"/>
      <c r="L6" s="83">
        <v>1</v>
      </c>
      <c r="M6" s="84">
        <f>(1+M7)</f>
        <v>1.0249999999999999</v>
      </c>
      <c r="N6" s="84">
        <f>+(1+N7)*M6</f>
        <v>1.0506249999999999</v>
      </c>
      <c r="O6" s="84">
        <f t="shared" ref="O6:BS6" si="0">+(1+O7)*N6</f>
        <v>1.0768906249999999</v>
      </c>
      <c r="P6" s="84">
        <f t="shared" si="0"/>
        <v>1.1038128906249998</v>
      </c>
      <c r="Q6" s="84">
        <f t="shared" si="0"/>
        <v>1.1314082128906247</v>
      </c>
      <c r="R6" s="84">
        <f t="shared" si="0"/>
        <v>1.1596934182128902</v>
      </c>
      <c r="S6" s="84">
        <f t="shared" si="0"/>
        <v>1.1886857536682123</v>
      </c>
      <c r="T6" s="84">
        <f t="shared" si="0"/>
        <v>1.2184028975099175</v>
      </c>
      <c r="U6" s="84">
        <f t="shared" si="0"/>
        <v>1.2488629699476652</v>
      </c>
      <c r="V6" s="84">
        <f t="shared" si="0"/>
        <v>1.2800845441963566</v>
      </c>
      <c r="W6" s="84">
        <f t="shared" si="0"/>
        <v>1.3120866578012655</v>
      </c>
      <c r="X6" s="84">
        <f t="shared" si="0"/>
        <v>1.3448888242462971</v>
      </c>
      <c r="Y6" s="84">
        <f t="shared" si="0"/>
        <v>1.3785110448524545</v>
      </c>
      <c r="Z6" s="84">
        <f t="shared" si="0"/>
        <v>1.4129738209737657</v>
      </c>
      <c r="AA6" s="84">
        <f t="shared" si="0"/>
        <v>1.4482981664981096</v>
      </c>
      <c r="AB6" s="84">
        <f t="shared" si="0"/>
        <v>1.4845056206605622</v>
      </c>
      <c r="AC6" s="84">
        <f t="shared" si="0"/>
        <v>1.5216182611770761</v>
      </c>
      <c r="AD6" s="84">
        <f t="shared" si="0"/>
        <v>1.5596587177065029</v>
      </c>
      <c r="AE6" s="84">
        <f t="shared" si="0"/>
        <v>1.5986501856491653</v>
      </c>
      <c r="AF6" s="84">
        <f t="shared" si="0"/>
        <v>1.6386164402903942</v>
      </c>
      <c r="AG6" s="84">
        <f t="shared" si="0"/>
        <v>1.6795818512976539</v>
      </c>
      <c r="AH6" s="84">
        <f t="shared" si="0"/>
        <v>1.721571397580095</v>
      </c>
      <c r="AI6" s="84">
        <f t="shared" si="0"/>
        <v>1.7646106825195973</v>
      </c>
      <c r="AJ6" s="84">
        <f t="shared" si="0"/>
        <v>1.8087259495825871</v>
      </c>
      <c r="AK6" s="84">
        <f t="shared" si="0"/>
        <v>1.8539440983221516</v>
      </c>
      <c r="AL6" s="84">
        <f t="shared" si="0"/>
        <v>1.9002927007802053</v>
      </c>
      <c r="AM6" s="84">
        <f t="shared" si="0"/>
        <v>1.9478000182997102</v>
      </c>
      <c r="AN6" s="84">
        <f t="shared" si="0"/>
        <v>1.9964950187572028</v>
      </c>
      <c r="AO6" s="84">
        <f t="shared" si="0"/>
        <v>2.0464073942261325</v>
      </c>
      <c r="AP6" s="84">
        <f t="shared" si="0"/>
        <v>2.0975675790817858</v>
      </c>
      <c r="AQ6" s="84">
        <f t="shared" si="0"/>
        <v>2.1500067685588302</v>
      </c>
      <c r="AR6" s="84">
        <f t="shared" si="0"/>
        <v>2.2037569377728006</v>
      </c>
      <c r="AS6" s="84">
        <f t="shared" si="0"/>
        <v>2.2588508612171205</v>
      </c>
      <c r="AT6" s="84">
        <f t="shared" si="0"/>
        <v>2.3153221327475482</v>
      </c>
      <c r="AU6" s="84">
        <f t="shared" si="0"/>
        <v>2.3732051860662366</v>
      </c>
      <c r="AV6" s="84">
        <f t="shared" si="0"/>
        <v>2.4325353157178924</v>
      </c>
      <c r="AW6" s="84">
        <f t="shared" si="0"/>
        <v>2.4933486986108395</v>
      </c>
      <c r="AX6" s="84">
        <f t="shared" si="0"/>
        <v>2.5556824160761105</v>
      </c>
      <c r="AY6" s="84">
        <f t="shared" si="0"/>
        <v>2.6195744764780131</v>
      </c>
      <c r="AZ6" s="84">
        <f t="shared" si="0"/>
        <v>2.6850638383899632</v>
      </c>
      <c r="BA6" s="84">
        <f t="shared" si="0"/>
        <v>2.7521904343497119</v>
      </c>
      <c r="BB6" s="84">
        <f t="shared" si="0"/>
        <v>2.8209951952084547</v>
      </c>
      <c r="BC6" s="84">
        <f t="shared" si="0"/>
        <v>2.8915200750886658</v>
      </c>
      <c r="BD6" s="84">
        <f t="shared" si="0"/>
        <v>2.9638080769658823</v>
      </c>
      <c r="BE6" s="84">
        <f t="shared" si="0"/>
        <v>3.0379032788900293</v>
      </c>
      <c r="BF6" s="84">
        <f t="shared" si="0"/>
        <v>3.1138508608622799</v>
      </c>
      <c r="BG6" s="84">
        <f t="shared" si="0"/>
        <v>3.1916971323838368</v>
      </c>
      <c r="BH6" s="84">
        <f t="shared" si="0"/>
        <v>3.2714895606934324</v>
      </c>
      <c r="BI6" s="84">
        <f t="shared" si="0"/>
        <v>3.353276799710768</v>
      </c>
      <c r="BJ6" s="84">
        <f t="shared" si="0"/>
        <v>3.437108719703537</v>
      </c>
      <c r="BK6" s="84">
        <f t="shared" si="0"/>
        <v>3.523036437696125</v>
      </c>
      <c r="BL6" s="84">
        <f t="shared" si="0"/>
        <v>3.6111123486385277</v>
      </c>
      <c r="BM6" s="84">
        <f t="shared" si="0"/>
        <v>3.7013901573544907</v>
      </c>
      <c r="BN6" s="84">
        <f t="shared" si="0"/>
        <v>3.7939249112883529</v>
      </c>
      <c r="BO6" s="84">
        <f t="shared" si="0"/>
        <v>3.8887730340705615</v>
      </c>
      <c r="BP6" s="84">
        <f t="shared" si="0"/>
        <v>3.9859923599223253</v>
      </c>
      <c r="BQ6" s="84">
        <f t="shared" si="0"/>
        <v>4.0856421689203835</v>
      </c>
      <c r="BR6" s="84">
        <f t="shared" si="0"/>
        <v>4.1877832231433922</v>
      </c>
      <c r="BS6" s="85">
        <f t="shared" si="0"/>
        <v>4.2924778037219768</v>
      </c>
      <c r="BT6" s="32"/>
      <c r="BU6" s="32"/>
    </row>
    <row r="7" spans="1:73" ht="15" thickBot="1">
      <c r="E7" s="3"/>
      <c r="F7" s="10"/>
      <c r="G7" s="10"/>
      <c r="H7" s="10"/>
      <c r="I7" s="4"/>
      <c r="J7" s="4"/>
      <c r="K7" s="4"/>
      <c r="L7" s="332">
        <f>Assumptions!$B$18</f>
        <v>2.5000000000000001E-2</v>
      </c>
      <c r="M7" s="332">
        <f>Assumptions!$B$18</f>
        <v>2.5000000000000001E-2</v>
      </c>
      <c r="N7" s="332">
        <f>Assumptions!$B$18</f>
        <v>2.5000000000000001E-2</v>
      </c>
      <c r="O7" s="332">
        <f>Assumptions!$B$18</f>
        <v>2.5000000000000001E-2</v>
      </c>
      <c r="P7" s="332">
        <f>Assumptions!$B$18</f>
        <v>2.5000000000000001E-2</v>
      </c>
      <c r="Q7" s="332">
        <f>Assumptions!$B$18</f>
        <v>2.5000000000000001E-2</v>
      </c>
      <c r="R7" s="332">
        <f>Assumptions!$B$18</f>
        <v>2.5000000000000001E-2</v>
      </c>
      <c r="S7" s="332">
        <f>Assumptions!$B$18</f>
        <v>2.5000000000000001E-2</v>
      </c>
      <c r="T7" s="332">
        <f>Assumptions!$B$18</f>
        <v>2.5000000000000001E-2</v>
      </c>
      <c r="U7" s="332">
        <f>Assumptions!$B$18</f>
        <v>2.5000000000000001E-2</v>
      </c>
      <c r="V7" s="332">
        <f>Assumptions!$B$18</f>
        <v>2.5000000000000001E-2</v>
      </c>
      <c r="W7" s="332">
        <f>Assumptions!$B$18</f>
        <v>2.5000000000000001E-2</v>
      </c>
      <c r="X7" s="332">
        <f>Assumptions!$B$18</f>
        <v>2.5000000000000001E-2</v>
      </c>
      <c r="Y7" s="332">
        <f>Assumptions!$B$18</f>
        <v>2.5000000000000001E-2</v>
      </c>
      <c r="Z7" s="332">
        <f>Assumptions!$B$18</f>
        <v>2.5000000000000001E-2</v>
      </c>
      <c r="AA7" s="332">
        <f>Assumptions!$B$18</f>
        <v>2.5000000000000001E-2</v>
      </c>
      <c r="AB7" s="332">
        <f>Assumptions!$B$18</f>
        <v>2.5000000000000001E-2</v>
      </c>
      <c r="AC7" s="332">
        <f>Assumptions!$B$18</f>
        <v>2.5000000000000001E-2</v>
      </c>
      <c r="AD7" s="332">
        <f>Assumptions!$B$18</f>
        <v>2.5000000000000001E-2</v>
      </c>
      <c r="AE7" s="332">
        <f>Assumptions!$B$18</f>
        <v>2.5000000000000001E-2</v>
      </c>
      <c r="AF7" s="332">
        <f>Assumptions!$B$18</f>
        <v>2.5000000000000001E-2</v>
      </c>
      <c r="AG7" s="332">
        <f>Assumptions!$B$18</f>
        <v>2.5000000000000001E-2</v>
      </c>
      <c r="AH7" s="332">
        <f>Assumptions!$B$18</f>
        <v>2.5000000000000001E-2</v>
      </c>
      <c r="AI7" s="332">
        <f>Assumptions!$B$18</f>
        <v>2.5000000000000001E-2</v>
      </c>
      <c r="AJ7" s="332">
        <f>Assumptions!$B$18</f>
        <v>2.5000000000000001E-2</v>
      </c>
      <c r="AK7" s="332">
        <f>Assumptions!$B$18</f>
        <v>2.5000000000000001E-2</v>
      </c>
      <c r="AL7" s="332">
        <f>Assumptions!$B$18</f>
        <v>2.5000000000000001E-2</v>
      </c>
      <c r="AM7" s="332">
        <f>Assumptions!$B$18</f>
        <v>2.5000000000000001E-2</v>
      </c>
      <c r="AN7" s="332">
        <f>Assumptions!$B$18</f>
        <v>2.5000000000000001E-2</v>
      </c>
      <c r="AO7" s="332">
        <f>Assumptions!$B$18</f>
        <v>2.5000000000000001E-2</v>
      </c>
      <c r="AP7" s="332">
        <f>Assumptions!$B$18</f>
        <v>2.5000000000000001E-2</v>
      </c>
      <c r="AQ7" s="332">
        <f>Assumptions!$B$18</f>
        <v>2.5000000000000001E-2</v>
      </c>
      <c r="AR7" s="332">
        <f>Assumptions!$B$18</f>
        <v>2.5000000000000001E-2</v>
      </c>
      <c r="AS7" s="332">
        <f>Assumptions!$B$18</f>
        <v>2.5000000000000001E-2</v>
      </c>
      <c r="AT7" s="332">
        <f>Assumptions!$B$18</f>
        <v>2.5000000000000001E-2</v>
      </c>
      <c r="AU7" s="332">
        <f>Assumptions!$B$18</f>
        <v>2.5000000000000001E-2</v>
      </c>
      <c r="AV7" s="332">
        <f>Assumptions!$B$18</f>
        <v>2.5000000000000001E-2</v>
      </c>
      <c r="AW7" s="332">
        <f>Assumptions!$B$18</f>
        <v>2.5000000000000001E-2</v>
      </c>
      <c r="AX7" s="332">
        <f>Assumptions!$B$18</f>
        <v>2.5000000000000001E-2</v>
      </c>
      <c r="AY7" s="332">
        <f>Assumptions!$B$18</f>
        <v>2.5000000000000001E-2</v>
      </c>
      <c r="AZ7" s="332">
        <f>Assumptions!$B$18</f>
        <v>2.5000000000000001E-2</v>
      </c>
      <c r="BA7" s="332">
        <f>Assumptions!$B$18</f>
        <v>2.5000000000000001E-2</v>
      </c>
      <c r="BB7" s="332">
        <f>Assumptions!$B$18</f>
        <v>2.5000000000000001E-2</v>
      </c>
      <c r="BC7" s="332">
        <f>Assumptions!$B$18</f>
        <v>2.5000000000000001E-2</v>
      </c>
      <c r="BD7" s="332">
        <f>Assumptions!$B$18</f>
        <v>2.5000000000000001E-2</v>
      </c>
      <c r="BE7" s="332">
        <f>Assumptions!$B$18</f>
        <v>2.5000000000000001E-2</v>
      </c>
      <c r="BF7" s="332">
        <f>Assumptions!$B$18</f>
        <v>2.5000000000000001E-2</v>
      </c>
      <c r="BG7" s="332">
        <f>Assumptions!$B$18</f>
        <v>2.5000000000000001E-2</v>
      </c>
      <c r="BH7" s="332">
        <f>Assumptions!$B$18</f>
        <v>2.5000000000000001E-2</v>
      </c>
      <c r="BI7" s="332">
        <f>Assumptions!$B$18</f>
        <v>2.5000000000000001E-2</v>
      </c>
      <c r="BJ7" s="332">
        <f>Assumptions!$B$18</f>
        <v>2.5000000000000001E-2</v>
      </c>
      <c r="BK7" s="332">
        <f>Assumptions!$B$18</f>
        <v>2.5000000000000001E-2</v>
      </c>
      <c r="BL7" s="332">
        <f>Assumptions!$B$18</f>
        <v>2.5000000000000001E-2</v>
      </c>
      <c r="BM7" s="332">
        <f>Assumptions!$B$18</f>
        <v>2.5000000000000001E-2</v>
      </c>
      <c r="BN7" s="332">
        <f>Assumptions!$B$18</f>
        <v>2.5000000000000001E-2</v>
      </c>
      <c r="BO7" s="332">
        <f>Assumptions!$B$18</f>
        <v>2.5000000000000001E-2</v>
      </c>
      <c r="BP7" s="332">
        <f>Assumptions!$B$18</f>
        <v>2.5000000000000001E-2</v>
      </c>
      <c r="BQ7" s="332">
        <f>Assumptions!$B$18</f>
        <v>2.5000000000000001E-2</v>
      </c>
      <c r="BR7" s="332">
        <f>Assumptions!$B$18</f>
        <v>2.5000000000000001E-2</v>
      </c>
      <c r="BS7" s="332">
        <f>Assumptions!$B$18</f>
        <v>2.5000000000000001E-2</v>
      </c>
    </row>
    <row r="8" spans="1:73" ht="12.75" customHeight="1">
      <c r="A8" s="796" t="s">
        <v>0</v>
      </c>
      <c r="B8" s="799" t="s">
        <v>1</v>
      </c>
      <c r="C8" s="799" t="s">
        <v>2</v>
      </c>
      <c r="D8" s="799"/>
      <c r="E8" s="799"/>
      <c r="F8" s="800" t="s">
        <v>26</v>
      </c>
      <c r="G8" s="43"/>
      <c r="H8" s="43"/>
      <c r="I8" s="802" t="s">
        <v>20</v>
      </c>
      <c r="J8" s="802" t="s">
        <v>21</v>
      </c>
      <c r="K8" s="789" t="s">
        <v>27</v>
      </c>
      <c r="L8" s="86" t="s">
        <v>39</v>
      </c>
      <c r="M8" s="87"/>
      <c r="N8" s="87"/>
      <c r="O8" s="87"/>
      <c r="P8" s="87"/>
      <c r="Q8" s="87"/>
      <c r="R8" s="87"/>
      <c r="S8" s="87"/>
      <c r="T8" s="87"/>
      <c r="U8" s="87"/>
      <c r="V8" s="87"/>
      <c r="W8" s="87"/>
      <c r="X8" s="87"/>
      <c r="Y8" s="87"/>
      <c r="Z8" s="87"/>
      <c r="AA8" s="87"/>
      <c r="AB8" s="87"/>
      <c r="AC8" s="87"/>
      <c r="AD8" s="87"/>
      <c r="AE8" s="87"/>
      <c r="AF8" s="87"/>
      <c r="AG8" s="87"/>
      <c r="AH8" s="87"/>
      <c r="AI8" s="87"/>
      <c r="AJ8" s="87"/>
      <c r="AK8" s="87"/>
      <c r="AL8" s="88"/>
      <c r="AM8" s="88"/>
      <c r="AN8" s="88"/>
      <c r="AO8" s="88"/>
      <c r="AP8" s="88"/>
      <c r="AQ8" s="88"/>
      <c r="AR8" s="88"/>
      <c r="AS8" s="88"/>
      <c r="AT8" s="88"/>
      <c r="AU8" s="88"/>
      <c r="AV8" s="88"/>
      <c r="AW8" s="88"/>
      <c r="AX8" s="88"/>
      <c r="AY8" s="88"/>
      <c r="AZ8" s="88"/>
      <c r="BA8" s="88"/>
      <c r="BB8" s="88"/>
      <c r="BC8" s="88"/>
      <c r="BD8" s="88"/>
      <c r="BE8" s="88"/>
      <c r="BF8" s="88"/>
      <c r="BG8" s="88"/>
      <c r="BH8" s="88"/>
      <c r="BI8" s="88"/>
      <c r="BJ8" s="88"/>
      <c r="BK8" s="88"/>
      <c r="BL8" s="88"/>
      <c r="BM8" s="88"/>
      <c r="BN8" s="88"/>
      <c r="BO8" s="88"/>
      <c r="BP8" s="88"/>
      <c r="BQ8" s="88"/>
      <c r="BR8" s="88"/>
      <c r="BS8" s="88"/>
      <c r="BT8" s="35"/>
    </row>
    <row r="9" spans="1:73" ht="52.5" customHeight="1">
      <c r="A9" s="797"/>
      <c r="B9" s="791"/>
      <c r="C9" s="791" t="s">
        <v>4</v>
      </c>
      <c r="D9" s="791" t="s">
        <v>5</v>
      </c>
      <c r="E9" s="791" t="s">
        <v>3</v>
      </c>
      <c r="F9" s="801"/>
      <c r="G9" s="44" t="s">
        <v>111</v>
      </c>
      <c r="H9" s="44" t="s">
        <v>41</v>
      </c>
      <c r="I9" s="803"/>
      <c r="J9" s="803"/>
      <c r="K9" s="790"/>
      <c r="L9" s="36">
        <v>0</v>
      </c>
      <c r="M9" s="36">
        <v>1</v>
      </c>
      <c r="N9" s="36">
        <f t="shared" ref="N9:BS9" si="1">+M9+1</f>
        <v>2</v>
      </c>
      <c r="O9" s="36">
        <f t="shared" si="1"/>
        <v>3</v>
      </c>
      <c r="P9" s="36">
        <f t="shared" si="1"/>
        <v>4</v>
      </c>
      <c r="Q9" s="36">
        <f t="shared" si="1"/>
        <v>5</v>
      </c>
      <c r="R9" s="36">
        <f t="shared" si="1"/>
        <v>6</v>
      </c>
      <c r="S9" s="36">
        <f t="shared" si="1"/>
        <v>7</v>
      </c>
      <c r="T9" s="36">
        <f t="shared" si="1"/>
        <v>8</v>
      </c>
      <c r="U9" s="36">
        <f t="shared" si="1"/>
        <v>9</v>
      </c>
      <c r="V9" s="36">
        <f t="shared" si="1"/>
        <v>10</v>
      </c>
      <c r="W9" s="36">
        <f t="shared" si="1"/>
        <v>11</v>
      </c>
      <c r="X9" s="36">
        <f t="shared" si="1"/>
        <v>12</v>
      </c>
      <c r="Y9" s="36">
        <f t="shared" si="1"/>
        <v>13</v>
      </c>
      <c r="Z9" s="36">
        <f t="shared" si="1"/>
        <v>14</v>
      </c>
      <c r="AA9" s="36">
        <f t="shared" si="1"/>
        <v>15</v>
      </c>
      <c r="AB9" s="36">
        <f t="shared" si="1"/>
        <v>16</v>
      </c>
      <c r="AC9" s="36">
        <f t="shared" si="1"/>
        <v>17</v>
      </c>
      <c r="AD9" s="36">
        <f t="shared" si="1"/>
        <v>18</v>
      </c>
      <c r="AE9" s="36">
        <f t="shared" si="1"/>
        <v>19</v>
      </c>
      <c r="AF9" s="36">
        <f t="shared" si="1"/>
        <v>20</v>
      </c>
      <c r="AG9" s="36">
        <f t="shared" si="1"/>
        <v>21</v>
      </c>
      <c r="AH9" s="36">
        <f t="shared" si="1"/>
        <v>22</v>
      </c>
      <c r="AI9" s="36">
        <f t="shared" si="1"/>
        <v>23</v>
      </c>
      <c r="AJ9" s="36">
        <f t="shared" si="1"/>
        <v>24</v>
      </c>
      <c r="AK9" s="36">
        <f t="shared" si="1"/>
        <v>25</v>
      </c>
      <c r="AL9" s="36">
        <f t="shared" si="1"/>
        <v>26</v>
      </c>
      <c r="AM9" s="36">
        <f t="shared" si="1"/>
        <v>27</v>
      </c>
      <c r="AN9" s="36">
        <f t="shared" si="1"/>
        <v>28</v>
      </c>
      <c r="AO9" s="36">
        <f t="shared" si="1"/>
        <v>29</v>
      </c>
      <c r="AP9" s="36">
        <f t="shared" si="1"/>
        <v>30</v>
      </c>
      <c r="AQ9" s="36">
        <f t="shared" si="1"/>
        <v>31</v>
      </c>
      <c r="AR9" s="36">
        <f t="shared" si="1"/>
        <v>32</v>
      </c>
      <c r="AS9" s="36">
        <f t="shared" si="1"/>
        <v>33</v>
      </c>
      <c r="AT9" s="36">
        <f t="shared" si="1"/>
        <v>34</v>
      </c>
      <c r="AU9" s="36">
        <f t="shared" si="1"/>
        <v>35</v>
      </c>
      <c r="AV9" s="36">
        <f t="shared" si="1"/>
        <v>36</v>
      </c>
      <c r="AW9" s="36">
        <f t="shared" si="1"/>
        <v>37</v>
      </c>
      <c r="AX9" s="36">
        <f t="shared" si="1"/>
        <v>38</v>
      </c>
      <c r="AY9" s="36">
        <f t="shared" si="1"/>
        <v>39</v>
      </c>
      <c r="AZ9" s="36">
        <f t="shared" si="1"/>
        <v>40</v>
      </c>
      <c r="BA9" s="36">
        <f t="shared" si="1"/>
        <v>41</v>
      </c>
      <c r="BB9" s="36">
        <f t="shared" si="1"/>
        <v>42</v>
      </c>
      <c r="BC9" s="36">
        <f t="shared" si="1"/>
        <v>43</v>
      </c>
      <c r="BD9" s="36">
        <f t="shared" si="1"/>
        <v>44</v>
      </c>
      <c r="BE9" s="36">
        <f t="shared" si="1"/>
        <v>45</v>
      </c>
      <c r="BF9" s="36">
        <f t="shared" si="1"/>
        <v>46</v>
      </c>
      <c r="BG9" s="36">
        <f t="shared" si="1"/>
        <v>47</v>
      </c>
      <c r="BH9" s="36">
        <f t="shared" si="1"/>
        <v>48</v>
      </c>
      <c r="BI9" s="36">
        <f t="shared" si="1"/>
        <v>49</v>
      </c>
      <c r="BJ9" s="36">
        <f t="shared" si="1"/>
        <v>50</v>
      </c>
      <c r="BK9" s="36">
        <f t="shared" si="1"/>
        <v>51</v>
      </c>
      <c r="BL9" s="36">
        <f t="shared" si="1"/>
        <v>52</v>
      </c>
      <c r="BM9" s="36">
        <f t="shared" si="1"/>
        <v>53</v>
      </c>
      <c r="BN9" s="36">
        <f t="shared" si="1"/>
        <v>54</v>
      </c>
      <c r="BO9" s="36">
        <f t="shared" si="1"/>
        <v>55</v>
      </c>
      <c r="BP9" s="36">
        <f t="shared" si="1"/>
        <v>56</v>
      </c>
      <c r="BQ9" s="36">
        <f t="shared" si="1"/>
        <v>57</v>
      </c>
      <c r="BR9" s="36">
        <f t="shared" si="1"/>
        <v>58</v>
      </c>
      <c r="BS9" s="36">
        <f t="shared" si="1"/>
        <v>59</v>
      </c>
      <c r="BT9" s="37"/>
    </row>
    <row r="10" spans="1:73" ht="14.55" customHeight="1" thickBot="1">
      <c r="A10" s="798"/>
      <c r="B10" s="792"/>
      <c r="C10" s="792"/>
      <c r="D10" s="792"/>
      <c r="E10" s="792"/>
      <c r="F10" s="28" t="str">
        <f>CONCATENATE("(",$B$5,")")</f>
        <v>(2026 $s)</v>
      </c>
      <c r="G10" s="28" t="str">
        <f>CONCATENATE("(",$B$5,")")</f>
        <v>(2026 $s)</v>
      </c>
      <c r="H10" s="28" t="str">
        <f>CONCATENATE("(",$B$5,")")</f>
        <v>(2026 $s)</v>
      </c>
      <c r="I10" s="804"/>
      <c r="J10" s="804"/>
      <c r="K10" s="33" t="str">
        <f>CONCATENATE("(",B5,")")</f>
        <v>(2026 $s)</v>
      </c>
      <c r="L10" s="5">
        <f>Assumptions!B3</f>
        <v>2026</v>
      </c>
      <c r="M10" s="5">
        <f t="shared" ref="M10:BS10" si="2">L10+1</f>
        <v>2027</v>
      </c>
      <c r="N10" s="5">
        <f t="shared" si="2"/>
        <v>2028</v>
      </c>
      <c r="O10" s="5">
        <f t="shared" si="2"/>
        <v>2029</v>
      </c>
      <c r="P10" s="5">
        <f t="shared" si="2"/>
        <v>2030</v>
      </c>
      <c r="Q10" s="5">
        <f t="shared" si="2"/>
        <v>2031</v>
      </c>
      <c r="R10" s="5">
        <f t="shared" si="2"/>
        <v>2032</v>
      </c>
      <c r="S10" s="5">
        <f t="shared" si="2"/>
        <v>2033</v>
      </c>
      <c r="T10" s="5">
        <f t="shared" si="2"/>
        <v>2034</v>
      </c>
      <c r="U10" s="5">
        <f t="shared" si="2"/>
        <v>2035</v>
      </c>
      <c r="V10" s="5">
        <f t="shared" si="2"/>
        <v>2036</v>
      </c>
      <c r="W10" s="5">
        <f t="shared" si="2"/>
        <v>2037</v>
      </c>
      <c r="X10" s="5">
        <f t="shared" si="2"/>
        <v>2038</v>
      </c>
      <c r="Y10" s="5">
        <f t="shared" si="2"/>
        <v>2039</v>
      </c>
      <c r="Z10" s="5">
        <f t="shared" si="2"/>
        <v>2040</v>
      </c>
      <c r="AA10" s="5">
        <f t="shared" si="2"/>
        <v>2041</v>
      </c>
      <c r="AB10" s="5">
        <f t="shared" si="2"/>
        <v>2042</v>
      </c>
      <c r="AC10" s="5">
        <f t="shared" si="2"/>
        <v>2043</v>
      </c>
      <c r="AD10" s="5">
        <f t="shared" si="2"/>
        <v>2044</v>
      </c>
      <c r="AE10" s="5">
        <f t="shared" si="2"/>
        <v>2045</v>
      </c>
      <c r="AF10" s="5">
        <f t="shared" si="2"/>
        <v>2046</v>
      </c>
      <c r="AG10" s="5">
        <f t="shared" si="2"/>
        <v>2047</v>
      </c>
      <c r="AH10" s="5">
        <f t="shared" si="2"/>
        <v>2048</v>
      </c>
      <c r="AI10" s="5">
        <f t="shared" si="2"/>
        <v>2049</v>
      </c>
      <c r="AJ10" s="5">
        <f t="shared" si="2"/>
        <v>2050</v>
      </c>
      <c r="AK10" s="5">
        <f t="shared" si="2"/>
        <v>2051</v>
      </c>
      <c r="AL10" s="5">
        <f t="shared" si="2"/>
        <v>2052</v>
      </c>
      <c r="AM10" s="5">
        <f t="shared" si="2"/>
        <v>2053</v>
      </c>
      <c r="AN10" s="5">
        <f t="shared" si="2"/>
        <v>2054</v>
      </c>
      <c r="AO10" s="5">
        <f t="shared" si="2"/>
        <v>2055</v>
      </c>
      <c r="AP10" s="5">
        <f t="shared" si="2"/>
        <v>2056</v>
      </c>
      <c r="AQ10" s="5">
        <f t="shared" si="2"/>
        <v>2057</v>
      </c>
      <c r="AR10" s="5">
        <f t="shared" si="2"/>
        <v>2058</v>
      </c>
      <c r="AS10" s="5">
        <f t="shared" si="2"/>
        <v>2059</v>
      </c>
      <c r="AT10" s="5">
        <f t="shared" si="2"/>
        <v>2060</v>
      </c>
      <c r="AU10" s="5">
        <f t="shared" si="2"/>
        <v>2061</v>
      </c>
      <c r="AV10" s="5">
        <f t="shared" si="2"/>
        <v>2062</v>
      </c>
      <c r="AW10" s="5">
        <f t="shared" si="2"/>
        <v>2063</v>
      </c>
      <c r="AX10" s="5">
        <f t="shared" si="2"/>
        <v>2064</v>
      </c>
      <c r="AY10" s="5">
        <f t="shared" si="2"/>
        <v>2065</v>
      </c>
      <c r="AZ10" s="5">
        <f t="shared" si="2"/>
        <v>2066</v>
      </c>
      <c r="BA10" s="5">
        <f t="shared" si="2"/>
        <v>2067</v>
      </c>
      <c r="BB10" s="5">
        <f t="shared" si="2"/>
        <v>2068</v>
      </c>
      <c r="BC10" s="5">
        <f t="shared" si="2"/>
        <v>2069</v>
      </c>
      <c r="BD10" s="5">
        <f t="shared" si="2"/>
        <v>2070</v>
      </c>
      <c r="BE10" s="5">
        <f t="shared" si="2"/>
        <v>2071</v>
      </c>
      <c r="BF10" s="5">
        <f t="shared" si="2"/>
        <v>2072</v>
      </c>
      <c r="BG10" s="5">
        <f t="shared" si="2"/>
        <v>2073</v>
      </c>
      <c r="BH10" s="5">
        <f t="shared" si="2"/>
        <v>2074</v>
      </c>
      <c r="BI10" s="5">
        <f t="shared" si="2"/>
        <v>2075</v>
      </c>
      <c r="BJ10" s="5">
        <f t="shared" si="2"/>
        <v>2076</v>
      </c>
      <c r="BK10" s="5">
        <f t="shared" si="2"/>
        <v>2077</v>
      </c>
      <c r="BL10" s="5">
        <f t="shared" si="2"/>
        <v>2078</v>
      </c>
      <c r="BM10" s="5">
        <f t="shared" si="2"/>
        <v>2079</v>
      </c>
      <c r="BN10" s="5">
        <f t="shared" si="2"/>
        <v>2080</v>
      </c>
      <c r="BO10" s="5">
        <f t="shared" si="2"/>
        <v>2081</v>
      </c>
      <c r="BP10" s="5">
        <f t="shared" si="2"/>
        <v>2082</v>
      </c>
      <c r="BQ10" s="5">
        <f t="shared" si="2"/>
        <v>2083</v>
      </c>
      <c r="BR10" s="5">
        <f t="shared" si="2"/>
        <v>2084</v>
      </c>
      <c r="BS10" s="5">
        <f t="shared" si="2"/>
        <v>2085</v>
      </c>
      <c r="BT10" s="38" t="s">
        <v>6</v>
      </c>
    </row>
    <row r="11" spans="1:73" ht="13.5" customHeight="1">
      <c r="A11" s="8" t="s">
        <v>13</v>
      </c>
      <c r="B11" s="9" t="s">
        <v>12</v>
      </c>
      <c r="C11" s="9" t="s">
        <v>112</v>
      </c>
      <c r="D11" s="9" t="s">
        <v>113</v>
      </c>
      <c r="E11" s="9" t="s">
        <v>15</v>
      </c>
      <c r="F11" s="11" t="s">
        <v>14</v>
      </c>
      <c r="G11" s="11" t="s">
        <v>16</v>
      </c>
      <c r="H11" s="11" t="s">
        <v>17</v>
      </c>
      <c r="I11" s="11" t="s">
        <v>18</v>
      </c>
      <c r="J11" s="11" t="s">
        <v>19</v>
      </c>
      <c r="K11" s="34" t="s">
        <v>114</v>
      </c>
      <c r="L11" s="49"/>
      <c r="M11" s="49"/>
      <c r="N11" s="40" t="str">
        <f t="shared" ref="N11" si="3">IF(AND(N$10=$C11,N$10=$D11),(($K11/$E11)*N$6),IF(AND(N$10&gt;=$C11,N$10&lt;=$D11),(($K11/$E11)*N$6),""))</f>
        <v/>
      </c>
      <c r="O11" s="49"/>
      <c r="P11" s="49"/>
      <c r="Q11" s="49"/>
      <c r="R11" s="49"/>
      <c r="S11" s="49"/>
      <c r="T11" s="49"/>
      <c r="U11" s="49"/>
      <c r="V11" s="49"/>
      <c r="W11" s="49"/>
      <c r="X11" s="49"/>
      <c r="Y11" s="49"/>
      <c r="Z11" s="49"/>
      <c r="AA11" s="49"/>
      <c r="AB11" s="49"/>
      <c r="AC11" s="49"/>
      <c r="AD11" s="49"/>
      <c r="AE11" s="50"/>
      <c r="AF11" s="51"/>
      <c r="AG11" s="51"/>
      <c r="AH11" s="51"/>
      <c r="AI11" s="51"/>
      <c r="AJ11" s="51"/>
      <c r="AK11" s="51"/>
      <c r="AL11" s="51"/>
      <c r="AM11" s="51"/>
      <c r="AN11" s="51"/>
      <c r="AO11" s="51"/>
      <c r="AP11" s="51"/>
      <c r="AQ11" s="51"/>
      <c r="AR11" s="51"/>
      <c r="AS11" s="51"/>
      <c r="AT11" s="51"/>
      <c r="AU11" s="51"/>
      <c r="AV11" s="51"/>
      <c r="AW11" s="51"/>
      <c r="AX11" s="51"/>
      <c r="AY11" s="51"/>
      <c r="AZ11" s="51"/>
      <c r="BA11" s="51"/>
      <c r="BB11" s="51"/>
      <c r="BC11" s="51"/>
      <c r="BD11" s="51"/>
      <c r="BE11" s="51"/>
      <c r="BF11" s="51"/>
      <c r="BG11" s="51"/>
      <c r="BH11" s="51"/>
      <c r="BI11" s="51"/>
      <c r="BJ11" s="51"/>
      <c r="BK11" s="51"/>
      <c r="BL11" s="51"/>
      <c r="BM11" s="51"/>
      <c r="BN11" s="51"/>
      <c r="BO11" s="51"/>
      <c r="BP11" s="51"/>
      <c r="BQ11" s="51"/>
      <c r="BR11" s="51"/>
      <c r="BS11" s="51"/>
      <c r="BT11" s="39"/>
    </row>
    <row r="12" spans="1:73" ht="13.5" customHeight="1">
      <c r="A12" s="713" t="str">
        <f>'S-Collection'!B6</f>
        <v>9A/10/12</v>
      </c>
      <c r="B12" s="189" t="str">
        <f>INDEX('S-Collection'!$C$6:$C$32,MATCH(Table19578101112131423617272815161718726[[#This Row],[a]],'S-Collection'!$B$6:$B$32,0))</f>
        <v>525 mm Gravity Sewer North Railway Trunk Upgrade (North Railway Street Bend - Fisher Gate)</v>
      </c>
      <c r="C12" s="98">
        <f>INDEX('S-Collection'!$F$6:$F$32,MATCH(Table19578101112131423617272815161718726[[#This Row],[a]],'S-Collection'!$B$6:$B$32,0))</f>
        <v>2026</v>
      </c>
      <c r="D12" s="186">
        <f>INDEX('S-Collection'!$G$6:$G$32,MATCH(Table19578101112131423617272815161718726[[#This Row],[a]],'S-Collection'!$B$6:$B$32,0))</f>
        <v>2026</v>
      </c>
      <c r="E12" s="99">
        <f>(D12-C12)+1</f>
        <v>1</v>
      </c>
      <c r="F12" s="123">
        <f>INDEX('S-Collection'!$K$6:$K$32,MATCH(Table19578101112131423617272815161718726[[#This Row],[a]],'S-Collection'!$B$6:$B$32,0))</f>
        <v>2267196</v>
      </c>
      <c r="G12" s="100"/>
      <c r="H12" s="101">
        <f>+Table19578101112131423617272815161718726[[#This Row],[f]]-Table19578101112131423617272815161718726[[#This Row],[g]]</f>
        <v>2267196</v>
      </c>
      <c r="I12" s="108">
        <f>INDEX('S-Collection'!$H$6:$H$32,MATCH(Table19578101112131423617272815161718726[[#This Row],[a]],'S-Collection'!$B$6:$B$32,0))</f>
        <v>1</v>
      </c>
      <c r="J12" s="102">
        <f>1-Table19578101112131423617272815161718726[[#This Row],[i]]</f>
        <v>0</v>
      </c>
      <c r="K12" s="103">
        <f>(Table19578101112131423617272815161718726[[#This Row],[h]]*Table19578101112131423617272815161718726[[#This Row],[i]])</f>
        <v>2267196</v>
      </c>
      <c r="L12" s="40">
        <f>IF(AND(L$10=$C12,L$10=$D12),(($K12/$E12)*L$6),IF(AND(L$10&gt;=$C12,L$10&lt;=$D12),(($K12/$E12)*L$6),""))</f>
        <v>2267196</v>
      </c>
      <c r="M12" s="40" t="str">
        <f t="shared" ref="L12:AA19" si="4">IF(AND(M$10=$C12,M$10=$D12),(($K12/$E12)*M$6),IF(AND(M$10&gt;=$C12,M$10&lt;=$D12),(($K12/$E12)*M$6),""))</f>
        <v/>
      </c>
      <c r="N12" s="40" t="str">
        <f t="shared" si="4"/>
        <v/>
      </c>
      <c r="O12" s="40" t="str">
        <f t="shared" si="4"/>
        <v/>
      </c>
      <c r="P12" s="40" t="str">
        <f t="shared" si="4"/>
        <v/>
      </c>
      <c r="Q12" s="40" t="str">
        <f t="shared" si="4"/>
        <v/>
      </c>
      <c r="R12" s="40" t="str">
        <f t="shared" si="4"/>
        <v/>
      </c>
      <c r="S12" s="40" t="str">
        <f t="shared" si="4"/>
        <v/>
      </c>
      <c r="T12" s="40" t="str">
        <f t="shared" si="4"/>
        <v/>
      </c>
      <c r="U12" s="40" t="str">
        <f t="shared" si="4"/>
        <v/>
      </c>
      <c r="V12" s="40" t="str">
        <f t="shared" si="4"/>
        <v/>
      </c>
      <c r="W12" s="40" t="str">
        <f t="shared" si="4"/>
        <v/>
      </c>
      <c r="X12" s="40" t="str">
        <f t="shared" si="4"/>
        <v/>
      </c>
      <c r="Y12" s="40" t="str">
        <f t="shared" si="4"/>
        <v/>
      </c>
      <c r="Z12" s="40" t="str">
        <f t="shared" si="4"/>
        <v/>
      </c>
      <c r="AA12" s="40" t="str">
        <f t="shared" si="4"/>
        <v/>
      </c>
      <c r="AB12" s="40" t="str">
        <f t="shared" ref="AB12:AQ19" si="5">IF(AND(AB$10=$C12,AB$10=$D12),(($K12/$E12)*AB$6),IF(AND(AB$10&gt;=$C12,AB$10&lt;=$D12),(($K12/$E12)*AB$6),""))</f>
        <v/>
      </c>
      <c r="AC12" s="40" t="str">
        <f t="shared" si="5"/>
        <v/>
      </c>
      <c r="AD12" s="40" t="str">
        <f t="shared" si="5"/>
        <v/>
      </c>
      <c r="AE12" s="40" t="str">
        <f t="shared" si="5"/>
        <v/>
      </c>
      <c r="AF12" s="40" t="str">
        <f t="shared" si="5"/>
        <v/>
      </c>
      <c r="AG12" s="40" t="str">
        <f t="shared" si="5"/>
        <v/>
      </c>
      <c r="AH12" s="40" t="str">
        <f t="shared" si="5"/>
        <v/>
      </c>
      <c r="AI12" s="40" t="str">
        <f t="shared" si="5"/>
        <v/>
      </c>
      <c r="AJ12" s="40" t="str">
        <f t="shared" si="5"/>
        <v/>
      </c>
      <c r="AK12" s="40" t="str">
        <f t="shared" si="5"/>
        <v/>
      </c>
      <c r="AL12" s="40" t="str">
        <f t="shared" si="5"/>
        <v/>
      </c>
      <c r="AM12" s="40" t="str">
        <f t="shared" si="5"/>
        <v/>
      </c>
      <c r="AN12" s="40" t="str">
        <f t="shared" si="5"/>
        <v/>
      </c>
      <c r="AO12" s="40" t="str">
        <f t="shared" si="5"/>
        <v/>
      </c>
      <c r="AP12" s="40" t="str">
        <f t="shared" si="5"/>
        <v/>
      </c>
      <c r="AQ12" s="40" t="str">
        <f t="shared" si="5"/>
        <v/>
      </c>
      <c r="AR12" s="40" t="str">
        <f t="shared" ref="AR12:BG19" si="6">IF(AND(AR$10=$C12,AR$10=$D12),(($K12/$E12)*AR$6),IF(AND(AR$10&gt;=$C12,AR$10&lt;=$D12),(($K12/$E12)*AR$6),""))</f>
        <v/>
      </c>
      <c r="AS12" s="40" t="str">
        <f t="shared" si="6"/>
        <v/>
      </c>
      <c r="AT12" s="40" t="str">
        <f t="shared" si="6"/>
        <v/>
      </c>
      <c r="AU12" s="40" t="str">
        <f t="shared" si="6"/>
        <v/>
      </c>
      <c r="AV12" s="40" t="str">
        <f t="shared" si="6"/>
        <v/>
      </c>
      <c r="AW12" s="40" t="str">
        <f t="shared" si="6"/>
        <v/>
      </c>
      <c r="AX12" s="40" t="str">
        <f t="shared" si="6"/>
        <v/>
      </c>
      <c r="AY12" s="40" t="str">
        <f t="shared" si="6"/>
        <v/>
      </c>
      <c r="AZ12" s="40" t="str">
        <f t="shared" si="6"/>
        <v/>
      </c>
      <c r="BA12" s="40" t="str">
        <f t="shared" si="6"/>
        <v/>
      </c>
      <c r="BB12" s="40" t="str">
        <f t="shared" si="6"/>
        <v/>
      </c>
      <c r="BC12" s="40" t="str">
        <f t="shared" si="6"/>
        <v/>
      </c>
      <c r="BD12" s="40" t="str">
        <f t="shared" si="6"/>
        <v/>
      </c>
      <c r="BE12" s="40" t="str">
        <f t="shared" si="6"/>
        <v/>
      </c>
      <c r="BF12" s="40" t="str">
        <f t="shared" si="6"/>
        <v/>
      </c>
      <c r="BG12" s="40" t="str">
        <f t="shared" si="6"/>
        <v/>
      </c>
      <c r="BH12" s="40" t="str">
        <f t="shared" ref="BH12:BS19" si="7">IF(AND(BH$10=$C12,BH$10=$D12),(($K12/$E12)*BH$6),IF(AND(BH$10&gt;=$C12,BH$10&lt;=$D12),(($K12/$E12)*BH$6),""))</f>
        <v/>
      </c>
      <c r="BI12" s="40" t="str">
        <f t="shared" si="7"/>
        <v/>
      </c>
      <c r="BJ12" s="40" t="str">
        <f t="shared" si="7"/>
        <v/>
      </c>
      <c r="BK12" s="40" t="str">
        <f t="shared" si="7"/>
        <v/>
      </c>
      <c r="BL12" s="40" t="str">
        <f t="shared" si="7"/>
        <v/>
      </c>
      <c r="BM12" s="40" t="str">
        <f t="shared" si="7"/>
        <v/>
      </c>
      <c r="BN12" s="40" t="str">
        <f t="shared" si="7"/>
        <v/>
      </c>
      <c r="BO12" s="40" t="str">
        <f t="shared" si="7"/>
        <v/>
      </c>
      <c r="BP12" s="40" t="str">
        <f t="shared" si="7"/>
        <v/>
      </c>
      <c r="BQ12" s="40" t="str">
        <f t="shared" si="7"/>
        <v/>
      </c>
      <c r="BR12" s="40" t="str">
        <f t="shared" si="7"/>
        <v/>
      </c>
      <c r="BS12" s="40" t="str">
        <f t="shared" si="7"/>
        <v/>
      </c>
      <c r="BT12" s="41">
        <f>SUM(L12:BS12)</f>
        <v>2267196</v>
      </c>
    </row>
    <row r="13" spans="1:73" ht="13.5" customHeight="1">
      <c r="A13" s="713">
        <f>'S-Collection'!B7</f>
        <v>15</v>
      </c>
      <c r="B13" s="189" t="str">
        <f>INDEX('S-Collection'!$C$6:$C$32,MATCH(Table19578101112131423617272815161718726[[#This Row],[a]],'S-Collection'!$B$6:$B$32,0))</f>
        <v>1050 mm Gravity Sewer (Crystal Shores Road to Crystal Green Lane)</v>
      </c>
      <c r="C13" s="146">
        <f>INDEX('S-Collection'!$F$6:$F$32,MATCH(Table19578101112131423617272815161718726[[#This Row],[a]],'S-Collection'!$B$6:$B$32,0))</f>
        <v>2026</v>
      </c>
      <c r="D13" s="146">
        <f>INDEX('S-Collection'!$G$6:$G$32,MATCH(Table19578101112131423617272815161718726[[#This Row],[a]],'S-Collection'!$B$6:$B$32,0))</f>
        <v>2027</v>
      </c>
      <c r="E13" s="130">
        <f t="shared" ref="E13:E19" si="8">(D13-C13)+1</f>
        <v>2</v>
      </c>
      <c r="F13" s="124">
        <f>INDEX('S-Collection'!$K$6:$K$32,MATCH(Table19578101112131423617272815161718726[[#This Row],[a]],'S-Collection'!$B$6:$B$32,0))</f>
        <v>994941.87499999977</v>
      </c>
      <c r="G13" s="100"/>
      <c r="H13" s="104">
        <f>+Table19578101112131423617272815161718726[[#This Row],[f]]-Table19578101112131423617272815161718726[[#This Row],[g]]</f>
        <v>994941.87499999977</v>
      </c>
      <c r="I13" s="110">
        <f>INDEX('S-Collection'!$H$6:$H$32,MATCH(Table19578101112131423617272815161718726[[#This Row],[a]],'S-Collection'!$B$6:$B$32,0))</f>
        <v>1</v>
      </c>
      <c r="J13" s="102">
        <f>1-Table19578101112131423617272815161718726[[#This Row],[i]]</f>
        <v>0</v>
      </c>
      <c r="K13" s="105">
        <f>(Table19578101112131423617272815161718726[[#This Row],[h]]*Table19578101112131423617272815161718726[[#This Row],[i]])</f>
        <v>994941.87499999977</v>
      </c>
      <c r="L13" s="40">
        <f t="shared" si="4"/>
        <v>497470.93749999988</v>
      </c>
      <c r="M13" s="40">
        <f t="shared" si="4"/>
        <v>509907.71093749983</v>
      </c>
      <c r="N13" s="40" t="str">
        <f t="shared" si="4"/>
        <v/>
      </c>
      <c r="O13" s="40" t="str">
        <f t="shared" si="4"/>
        <v/>
      </c>
      <c r="P13" s="40" t="str">
        <f t="shared" si="4"/>
        <v/>
      </c>
      <c r="Q13" s="40" t="str">
        <f t="shared" si="4"/>
        <v/>
      </c>
      <c r="R13" s="40" t="str">
        <f t="shared" si="4"/>
        <v/>
      </c>
      <c r="S13" s="40" t="str">
        <f t="shared" si="4"/>
        <v/>
      </c>
      <c r="T13" s="40" t="str">
        <f t="shared" si="4"/>
        <v/>
      </c>
      <c r="U13" s="40" t="str">
        <f t="shared" si="4"/>
        <v/>
      </c>
      <c r="V13" s="40" t="str">
        <f t="shared" si="4"/>
        <v/>
      </c>
      <c r="W13" s="40" t="str">
        <f t="shared" si="4"/>
        <v/>
      </c>
      <c r="X13" s="40" t="str">
        <f t="shared" si="4"/>
        <v/>
      </c>
      <c r="Y13" s="40" t="str">
        <f t="shared" si="4"/>
        <v/>
      </c>
      <c r="Z13" s="40" t="str">
        <f t="shared" si="4"/>
        <v/>
      </c>
      <c r="AA13" s="40" t="str">
        <f t="shared" si="4"/>
        <v/>
      </c>
      <c r="AB13" s="40" t="str">
        <f t="shared" si="5"/>
        <v/>
      </c>
      <c r="AC13" s="40" t="str">
        <f t="shared" si="5"/>
        <v/>
      </c>
      <c r="AD13" s="40" t="str">
        <f t="shared" si="5"/>
        <v/>
      </c>
      <c r="AE13" s="40" t="str">
        <f t="shared" si="5"/>
        <v/>
      </c>
      <c r="AF13" s="40" t="str">
        <f t="shared" si="5"/>
        <v/>
      </c>
      <c r="AG13" s="40" t="str">
        <f t="shared" si="5"/>
        <v/>
      </c>
      <c r="AH13" s="40" t="str">
        <f t="shared" si="5"/>
        <v/>
      </c>
      <c r="AI13" s="40" t="str">
        <f t="shared" si="5"/>
        <v/>
      </c>
      <c r="AJ13" s="40" t="str">
        <f t="shared" si="5"/>
        <v/>
      </c>
      <c r="AK13" s="40" t="str">
        <f t="shared" si="5"/>
        <v/>
      </c>
      <c r="AL13" s="40" t="str">
        <f t="shared" si="5"/>
        <v/>
      </c>
      <c r="AM13" s="40" t="str">
        <f t="shared" si="5"/>
        <v/>
      </c>
      <c r="AN13" s="40" t="str">
        <f t="shared" si="5"/>
        <v/>
      </c>
      <c r="AO13" s="40" t="str">
        <f t="shared" si="5"/>
        <v/>
      </c>
      <c r="AP13" s="40" t="str">
        <f t="shared" si="5"/>
        <v/>
      </c>
      <c r="AQ13" s="40" t="str">
        <f t="shared" si="5"/>
        <v/>
      </c>
      <c r="AR13" s="40" t="str">
        <f t="shared" si="6"/>
        <v/>
      </c>
      <c r="AS13" s="40" t="str">
        <f t="shared" si="6"/>
        <v/>
      </c>
      <c r="AT13" s="40" t="str">
        <f t="shared" si="6"/>
        <v/>
      </c>
      <c r="AU13" s="40" t="str">
        <f t="shared" si="6"/>
        <v/>
      </c>
      <c r="AV13" s="40" t="str">
        <f t="shared" si="6"/>
        <v/>
      </c>
      <c r="AW13" s="40" t="str">
        <f t="shared" si="6"/>
        <v/>
      </c>
      <c r="AX13" s="40" t="str">
        <f t="shared" si="6"/>
        <v/>
      </c>
      <c r="AY13" s="40" t="str">
        <f t="shared" si="6"/>
        <v/>
      </c>
      <c r="AZ13" s="40" t="str">
        <f t="shared" si="6"/>
        <v/>
      </c>
      <c r="BA13" s="40" t="str">
        <f t="shared" si="6"/>
        <v/>
      </c>
      <c r="BB13" s="40" t="str">
        <f t="shared" si="6"/>
        <v/>
      </c>
      <c r="BC13" s="40" t="str">
        <f t="shared" si="6"/>
        <v/>
      </c>
      <c r="BD13" s="40" t="str">
        <f t="shared" si="6"/>
        <v/>
      </c>
      <c r="BE13" s="40" t="str">
        <f t="shared" si="6"/>
        <v/>
      </c>
      <c r="BF13" s="40" t="str">
        <f t="shared" si="6"/>
        <v/>
      </c>
      <c r="BG13" s="40" t="str">
        <f t="shared" si="6"/>
        <v/>
      </c>
      <c r="BH13" s="40" t="str">
        <f t="shared" si="7"/>
        <v/>
      </c>
      <c r="BI13" s="40" t="str">
        <f t="shared" si="7"/>
        <v/>
      </c>
      <c r="BJ13" s="40" t="str">
        <f t="shared" si="7"/>
        <v/>
      </c>
      <c r="BK13" s="40" t="str">
        <f t="shared" si="7"/>
        <v/>
      </c>
      <c r="BL13" s="40" t="str">
        <f t="shared" si="7"/>
        <v/>
      </c>
      <c r="BM13" s="40" t="str">
        <f t="shared" si="7"/>
        <v/>
      </c>
      <c r="BN13" s="40" t="str">
        <f t="shared" si="7"/>
        <v/>
      </c>
      <c r="BO13" s="40" t="str">
        <f t="shared" si="7"/>
        <v/>
      </c>
      <c r="BP13" s="40" t="str">
        <f t="shared" si="7"/>
        <v/>
      </c>
      <c r="BQ13" s="40" t="str">
        <f t="shared" si="7"/>
        <v/>
      </c>
      <c r="BR13" s="40" t="str">
        <f t="shared" si="7"/>
        <v/>
      </c>
      <c r="BS13" s="40" t="str">
        <f t="shared" si="7"/>
        <v/>
      </c>
      <c r="BT13" s="41">
        <f t="shared" ref="BT13:BT17" si="9">SUM(L13:BS13)</f>
        <v>1007378.6484374998</v>
      </c>
    </row>
    <row r="14" spans="1:73" ht="13.5" customHeight="1">
      <c r="A14" s="713" t="str">
        <f>'S-Collection'!B8</f>
        <v>14A</v>
      </c>
      <c r="B14" s="189" t="str">
        <f>INDEX('S-Collection'!$C$6:$C$32,MATCH(Table19578101112131423617272815161718726[[#This Row],[a]],'S-Collection'!$B$6:$B$32,0))</f>
        <v>1050 mm Gravity Sewer (Crystal Shores Road to 260m South)</v>
      </c>
      <c r="C14" s="186">
        <f>INDEX('S-Collection'!$F$6:$F$32,MATCH(Table19578101112131423617272815161718726[[#This Row],[a]],'S-Collection'!$B$6:$B$32,0))</f>
        <v>2027</v>
      </c>
      <c r="D14" s="186">
        <f>INDEX('S-Collection'!$G$6:$G$32,MATCH(Table19578101112131423617272815161718726[[#This Row],[a]],'S-Collection'!$B$6:$B$32,0))</f>
        <v>2028</v>
      </c>
      <c r="E14" s="99">
        <f t="shared" si="8"/>
        <v>2</v>
      </c>
      <c r="F14" s="123">
        <f>INDEX('S-Collection'!$K$6:$K$32,MATCH(Table19578101112131423617272815161718726[[#This Row],[a]],'S-Collection'!$B$6:$B$32,0))</f>
        <v>994941.87499999977</v>
      </c>
      <c r="G14" s="100"/>
      <c r="H14" s="101">
        <f>+Table19578101112131423617272815161718726[[#This Row],[f]]-Table19578101112131423617272815161718726[[#This Row],[g]]</f>
        <v>994941.87499999977</v>
      </c>
      <c r="I14" s="108">
        <f>INDEX('S-Collection'!$H$6:$H$32,MATCH(Table19578101112131423617272815161718726[[#This Row],[a]],'S-Collection'!$B$6:$B$32,0))</f>
        <v>1</v>
      </c>
      <c r="J14" s="102">
        <f>1-Table19578101112131423617272815161718726[[#This Row],[i]]</f>
        <v>0</v>
      </c>
      <c r="K14" s="103">
        <f>(Table19578101112131423617272815161718726[[#This Row],[h]]*Table19578101112131423617272815161718726[[#This Row],[i]])</f>
        <v>994941.87499999977</v>
      </c>
      <c r="L14" s="40" t="str">
        <f t="shared" si="4"/>
        <v/>
      </c>
      <c r="M14" s="40">
        <f t="shared" si="4"/>
        <v>509907.71093749983</v>
      </c>
      <c r="N14" s="40">
        <f t="shared" si="4"/>
        <v>522655.40371093736</v>
      </c>
      <c r="O14" s="40" t="str">
        <f t="shared" si="4"/>
        <v/>
      </c>
      <c r="P14" s="40" t="str">
        <f t="shared" si="4"/>
        <v/>
      </c>
      <c r="Q14" s="40" t="str">
        <f t="shared" si="4"/>
        <v/>
      </c>
      <c r="R14" s="40" t="str">
        <f t="shared" si="4"/>
        <v/>
      </c>
      <c r="S14" s="40" t="str">
        <f t="shared" si="4"/>
        <v/>
      </c>
      <c r="T14" s="40" t="str">
        <f t="shared" si="4"/>
        <v/>
      </c>
      <c r="U14" s="40" t="str">
        <f t="shared" si="4"/>
        <v/>
      </c>
      <c r="V14" s="40" t="str">
        <f t="shared" si="4"/>
        <v/>
      </c>
      <c r="W14" s="40" t="str">
        <f t="shared" si="4"/>
        <v/>
      </c>
      <c r="X14" s="40" t="str">
        <f t="shared" si="4"/>
        <v/>
      </c>
      <c r="Y14" s="40" t="str">
        <f t="shared" si="4"/>
        <v/>
      </c>
      <c r="Z14" s="40" t="str">
        <f t="shared" si="4"/>
        <v/>
      </c>
      <c r="AA14" s="40" t="str">
        <f t="shared" si="4"/>
        <v/>
      </c>
      <c r="AB14" s="40" t="str">
        <f t="shared" si="5"/>
        <v/>
      </c>
      <c r="AC14" s="40" t="str">
        <f t="shared" si="5"/>
        <v/>
      </c>
      <c r="AD14" s="40" t="str">
        <f t="shared" si="5"/>
        <v/>
      </c>
      <c r="AE14" s="40" t="str">
        <f t="shared" si="5"/>
        <v/>
      </c>
      <c r="AF14" s="40" t="str">
        <f t="shared" si="5"/>
        <v/>
      </c>
      <c r="AG14" s="40" t="str">
        <f t="shared" si="5"/>
        <v/>
      </c>
      <c r="AH14" s="40" t="str">
        <f t="shared" si="5"/>
        <v/>
      </c>
      <c r="AI14" s="40" t="str">
        <f t="shared" si="5"/>
        <v/>
      </c>
      <c r="AJ14" s="40" t="str">
        <f t="shared" si="5"/>
        <v/>
      </c>
      <c r="AK14" s="40" t="str">
        <f t="shared" si="5"/>
        <v/>
      </c>
      <c r="AL14" s="40" t="str">
        <f t="shared" si="5"/>
        <v/>
      </c>
      <c r="AM14" s="40" t="str">
        <f t="shared" si="5"/>
        <v/>
      </c>
      <c r="AN14" s="40" t="str">
        <f t="shared" si="5"/>
        <v/>
      </c>
      <c r="AO14" s="40" t="str">
        <f t="shared" si="5"/>
        <v/>
      </c>
      <c r="AP14" s="40" t="str">
        <f t="shared" si="5"/>
        <v/>
      </c>
      <c r="AQ14" s="40" t="str">
        <f t="shared" si="5"/>
        <v/>
      </c>
      <c r="AR14" s="40" t="str">
        <f t="shared" si="6"/>
        <v/>
      </c>
      <c r="AS14" s="40" t="str">
        <f t="shared" si="6"/>
        <v/>
      </c>
      <c r="AT14" s="40" t="str">
        <f t="shared" si="6"/>
        <v/>
      </c>
      <c r="AU14" s="40" t="str">
        <f t="shared" si="6"/>
        <v/>
      </c>
      <c r="AV14" s="40" t="str">
        <f t="shared" si="6"/>
        <v/>
      </c>
      <c r="AW14" s="40" t="str">
        <f t="shared" si="6"/>
        <v/>
      </c>
      <c r="AX14" s="40" t="str">
        <f t="shared" si="6"/>
        <v/>
      </c>
      <c r="AY14" s="40" t="str">
        <f t="shared" si="6"/>
        <v/>
      </c>
      <c r="AZ14" s="40" t="str">
        <f t="shared" si="6"/>
        <v/>
      </c>
      <c r="BA14" s="40" t="str">
        <f t="shared" si="6"/>
        <v/>
      </c>
      <c r="BB14" s="40" t="str">
        <f t="shared" si="6"/>
        <v/>
      </c>
      <c r="BC14" s="40" t="str">
        <f t="shared" si="6"/>
        <v/>
      </c>
      <c r="BD14" s="40" t="str">
        <f t="shared" si="6"/>
        <v/>
      </c>
      <c r="BE14" s="40" t="str">
        <f t="shared" si="6"/>
        <v/>
      </c>
      <c r="BF14" s="40" t="str">
        <f t="shared" si="6"/>
        <v/>
      </c>
      <c r="BG14" s="40" t="str">
        <f t="shared" si="6"/>
        <v/>
      </c>
      <c r="BH14" s="40" t="str">
        <f t="shared" si="7"/>
        <v/>
      </c>
      <c r="BI14" s="40" t="str">
        <f t="shared" si="7"/>
        <v/>
      </c>
      <c r="BJ14" s="40" t="str">
        <f t="shared" si="7"/>
        <v/>
      </c>
      <c r="BK14" s="40" t="str">
        <f t="shared" si="7"/>
        <v/>
      </c>
      <c r="BL14" s="40" t="str">
        <f t="shared" si="7"/>
        <v/>
      </c>
      <c r="BM14" s="40" t="str">
        <f t="shared" si="7"/>
        <v/>
      </c>
      <c r="BN14" s="40" t="str">
        <f t="shared" si="7"/>
        <v/>
      </c>
      <c r="BO14" s="40" t="str">
        <f t="shared" si="7"/>
        <v/>
      </c>
      <c r="BP14" s="40" t="str">
        <f t="shared" si="7"/>
        <v/>
      </c>
      <c r="BQ14" s="40" t="str">
        <f t="shared" si="7"/>
        <v/>
      </c>
      <c r="BR14" s="40" t="str">
        <f t="shared" si="7"/>
        <v/>
      </c>
      <c r="BS14" s="40" t="str">
        <f t="shared" si="7"/>
        <v/>
      </c>
      <c r="BT14" s="41">
        <f t="shared" si="9"/>
        <v>1032563.1146484371</v>
      </c>
    </row>
    <row r="15" spans="1:73" ht="13.5" customHeight="1">
      <c r="A15" s="713" t="str">
        <f>'S-Collection'!B9</f>
        <v>13/14B/16</v>
      </c>
      <c r="B15" s="189" t="str">
        <f>INDEX('S-Collection'!$C$6:$C$32,MATCH(Table19578101112131423617272815161718726[[#This Row],[a]],'S-Collection'!$B$6:$B$32,0))</f>
        <v>1050 mm (North Railway Street to 260m south of Crystal Shores Road)</v>
      </c>
      <c r="C15" s="146">
        <f>INDEX('S-Collection'!$F$6:$F$32,MATCH(Table19578101112131423617272815161718726[[#This Row],[a]],'S-Collection'!$B$6:$B$32,0))</f>
        <v>2031</v>
      </c>
      <c r="D15" s="146">
        <f>INDEX('S-Collection'!$G$6:$G$32,MATCH(Table19578101112131423617272815161718726[[#This Row],[a]],'S-Collection'!$B$6:$B$32,0))</f>
        <v>2032</v>
      </c>
      <c r="E15" s="130">
        <f t="shared" si="8"/>
        <v>2</v>
      </c>
      <c r="F15" s="124">
        <f>INDEX('S-Collection'!$K$6:$K$32,MATCH(Table19578101112131423617272815161718726[[#This Row],[a]],'S-Collection'!$B$6:$B$32,0))</f>
        <v>7540335.6249999981</v>
      </c>
      <c r="G15" s="100"/>
      <c r="H15" s="104">
        <f>+Table19578101112131423617272815161718726[[#This Row],[f]]-Table19578101112131423617272815161718726[[#This Row],[g]]</f>
        <v>7540335.6249999981</v>
      </c>
      <c r="I15" s="110">
        <f>INDEX('S-Collection'!$H$6:$H$32,MATCH(Table19578101112131423617272815161718726[[#This Row],[a]],'S-Collection'!$B$6:$B$32,0))</f>
        <v>1</v>
      </c>
      <c r="J15" s="102">
        <f>1-Table19578101112131423617272815161718726[[#This Row],[i]]</f>
        <v>0</v>
      </c>
      <c r="K15" s="105">
        <f>(Table19578101112131423617272815161718726[[#This Row],[h]]*Table19578101112131423617272815161718726[[#This Row],[i]])</f>
        <v>7540335.6249999981</v>
      </c>
      <c r="L15" s="40" t="str">
        <f t="shared" si="4"/>
        <v/>
      </c>
      <c r="M15" s="40" t="str">
        <f t="shared" si="4"/>
        <v/>
      </c>
      <c r="N15" s="40" t="str">
        <f t="shared" si="4"/>
        <v/>
      </c>
      <c r="O15" s="40" t="str">
        <f t="shared" si="4"/>
        <v/>
      </c>
      <c r="P15" s="40" t="str">
        <f t="shared" si="4"/>
        <v/>
      </c>
      <c r="Q15" s="40">
        <f t="shared" si="4"/>
        <v>4265598.8270383794</v>
      </c>
      <c r="R15" s="40">
        <f t="shared" si="4"/>
        <v>4372238.7977143386</v>
      </c>
      <c r="S15" s="40" t="str">
        <f t="shared" si="4"/>
        <v/>
      </c>
      <c r="T15" s="40" t="str">
        <f t="shared" si="4"/>
        <v/>
      </c>
      <c r="U15" s="40" t="str">
        <f t="shared" si="4"/>
        <v/>
      </c>
      <c r="V15" s="40" t="str">
        <f t="shared" si="4"/>
        <v/>
      </c>
      <c r="W15" s="40" t="str">
        <f t="shared" si="4"/>
        <v/>
      </c>
      <c r="X15" s="40" t="str">
        <f t="shared" si="4"/>
        <v/>
      </c>
      <c r="Y15" s="40" t="str">
        <f t="shared" si="4"/>
        <v/>
      </c>
      <c r="Z15" s="40" t="str">
        <f t="shared" si="4"/>
        <v/>
      </c>
      <c r="AA15" s="40" t="str">
        <f t="shared" si="4"/>
        <v/>
      </c>
      <c r="AB15" s="40" t="str">
        <f t="shared" si="5"/>
        <v/>
      </c>
      <c r="AC15" s="40" t="str">
        <f t="shared" si="5"/>
        <v/>
      </c>
      <c r="AD15" s="40" t="str">
        <f t="shared" si="5"/>
        <v/>
      </c>
      <c r="AE15" s="40" t="str">
        <f t="shared" si="5"/>
        <v/>
      </c>
      <c r="AF15" s="40" t="str">
        <f t="shared" si="5"/>
        <v/>
      </c>
      <c r="AG15" s="40" t="str">
        <f t="shared" si="5"/>
        <v/>
      </c>
      <c r="AH15" s="40" t="str">
        <f t="shared" si="5"/>
        <v/>
      </c>
      <c r="AI15" s="40" t="str">
        <f t="shared" si="5"/>
        <v/>
      </c>
      <c r="AJ15" s="40" t="str">
        <f t="shared" si="5"/>
        <v/>
      </c>
      <c r="AK15" s="40" t="str">
        <f t="shared" si="5"/>
        <v/>
      </c>
      <c r="AL15" s="40" t="str">
        <f t="shared" si="5"/>
        <v/>
      </c>
      <c r="AM15" s="40" t="str">
        <f t="shared" si="5"/>
        <v/>
      </c>
      <c r="AN15" s="40" t="str">
        <f t="shared" si="5"/>
        <v/>
      </c>
      <c r="AO15" s="40" t="str">
        <f t="shared" si="5"/>
        <v/>
      </c>
      <c r="AP15" s="40" t="str">
        <f t="shared" si="5"/>
        <v/>
      </c>
      <c r="AQ15" s="40" t="str">
        <f t="shared" si="5"/>
        <v/>
      </c>
      <c r="AR15" s="40" t="str">
        <f t="shared" si="6"/>
        <v/>
      </c>
      <c r="AS15" s="40" t="str">
        <f t="shared" si="6"/>
        <v/>
      </c>
      <c r="AT15" s="40" t="str">
        <f t="shared" si="6"/>
        <v/>
      </c>
      <c r="AU15" s="40" t="str">
        <f t="shared" si="6"/>
        <v/>
      </c>
      <c r="AV15" s="40" t="str">
        <f t="shared" si="6"/>
        <v/>
      </c>
      <c r="AW15" s="40" t="str">
        <f t="shared" si="6"/>
        <v/>
      </c>
      <c r="AX15" s="40" t="str">
        <f t="shared" si="6"/>
        <v/>
      </c>
      <c r="AY15" s="40" t="str">
        <f t="shared" si="6"/>
        <v/>
      </c>
      <c r="AZ15" s="40" t="str">
        <f t="shared" si="6"/>
        <v/>
      </c>
      <c r="BA15" s="40" t="str">
        <f t="shared" si="6"/>
        <v/>
      </c>
      <c r="BB15" s="40" t="str">
        <f t="shared" si="6"/>
        <v/>
      </c>
      <c r="BC15" s="40" t="str">
        <f t="shared" si="6"/>
        <v/>
      </c>
      <c r="BD15" s="40" t="str">
        <f t="shared" si="6"/>
        <v/>
      </c>
      <c r="BE15" s="40" t="str">
        <f t="shared" si="6"/>
        <v/>
      </c>
      <c r="BF15" s="40" t="str">
        <f t="shared" si="6"/>
        <v/>
      </c>
      <c r="BG15" s="40" t="str">
        <f t="shared" si="6"/>
        <v/>
      </c>
      <c r="BH15" s="40" t="str">
        <f t="shared" si="7"/>
        <v/>
      </c>
      <c r="BI15" s="40" t="str">
        <f t="shared" si="7"/>
        <v/>
      </c>
      <c r="BJ15" s="40" t="str">
        <f t="shared" si="7"/>
        <v/>
      </c>
      <c r="BK15" s="40" t="str">
        <f t="shared" si="7"/>
        <v/>
      </c>
      <c r="BL15" s="40" t="str">
        <f t="shared" si="7"/>
        <v/>
      </c>
      <c r="BM15" s="40" t="str">
        <f t="shared" si="7"/>
        <v/>
      </c>
      <c r="BN15" s="40" t="str">
        <f t="shared" si="7"/>
        <v/>
      </c>
      <c r="BO15" s="40" t="str">
        <f t="shared" si="7"/>
        <v/>
      </c>
      <c r="BP15" s="40" t="str">
        <f t="shared" si="7"/>
        <v/>
      </c>
      <c r="BQ15" s="40" t="str">
        <f t="shared" si="7"/>
        <v/>
      </c>
      <c r="BR15" s="40" t="str">
        <f t="shared" si="7"/>
        <v/>
      </c>
      <c r="BS15" s="40" t="str">
        <f t="shared" si="7"/>
        <v/>
      </c>
      <c r="BT15" s="41">
        <f>SUM(L15:BS15)</f>
        <v>8637837.624752719</v>
      </c>
    </row>
    <row r="16" spans="1:73" ht="13.5" customHeight="1">
      <c r="A16" s="713">
        <f>'S-Collection'!B10</f>
        <v>45</v>
      </c>
      <c r="B16" s="189" t="str">
        <f>INDEX('S-Collection'!$C$6:$C$32,MATCH(Table19578101112131423617272815161718726[[#This Row],[a]],'S-Collection'!$B$6:$B$32,0))</f>
        <v>450 mm Gravity Sewer - Riverside Drive &amp; South Railway Street Upgrade (Northridge Drive/Riverside Drive Intersection - Start of Oak Ave)</v>
      </c>
      <c r="C16" s="186">
        <f>INDEX('S-Collection'!$F$6:$F$32,MATCH(Table19578101112131423617272815161718726[[#This Row],[a]],'S-Collection'!$B$6:$B$32,0))</f>
        <v>2026</v>
      </c>
      <c r="D16" s="186">
        <f>INDEX('S-Collection'!$G$6:$G$32,MATCH(Table19578101112131423617272815161718726[[#This Row],[a]],'S-Collection'!$B$6:$B$32,0))</f>
        <v>2027</v>
      </c>
      <c r="E16" s="99">
        <f t="shared" si="8"/>
        <v>2</v>
      </c>
      <c r="F16" s="123">
        <f>INDEX('S-Collection'!$K$6:$K$32,MATCH(Table19578101112131423617272815161718726[[#This Row],[a]],'S-Collection'!$B$6:$B$32,0))</f>
        <v>6631506.2199999997</v>
      </c>
      <c r="G16" s="100"/>
      <c r="H16" s="101">
        <f>+Table19578101112131423617272815161718726[[#This Row],[f]]-Table19578101112131423617272815161718726[[#This Row],[g]]</f>
        <v>6631506.2199999997</v>
      </c>
      <c r="I16" s="108">
        <f>INDEX('S-Collection'!$H$6:$H$32,MATCH(Table19578101112131423617272815161718726[[#This Row],[a]],'S-Collection'!$B$6:$B$32,0))</f>
        <v>1</v>
      </c>
      <c r="J16" s="102">
        <f>1-Table19578101112131423617272815161718726[[#This Row],[i]]</f>
        <v>0</v>
      </c>
      <c r="K16" s="103">
        <f>(Table19578101112131423617272815161718726[[#This Row],[h]]*Table19578101112131423617272815161718726[[#This Row],[i]])</f>
        <v>6631506.2199999997</v>
      </c>
      <c r="L16" s="40">
        <f t="shared" si="4"/>
        <v>3315753.11</v>
      </c>
      <c r="M16" s="40">
        <f t="shared" si="4"/>
        <v>3398646.9377499996</v>
      </c>
      <c r="N16" s="40" t="str">
        <f t="shared" si="4"/>
        <v/>
      </c>
      <c r="O16" s="40" t="str">
        <f t="shared" si="4"/>
        <v/>
      </c>
      <c r="P16" s="40" t="str">
        <f t="shared" si="4"/>
        <v/>
      </c>
      <c r="Q16" s="40" t="str">
        <f t="shared" si="4"/>
        <v/>
      </c>
      <c r="R16" s="40" t="str">
        <f t="shared" si="4"/>
        <v/>
      </c>
      <c r="S16" s="40" t="str">
        <f t="shared" si="4"/>
        <v/>
      </c>
      <c r="T16" s="40" t="str">
        <f t="shared" si="4"/>
        <v/>
      </c>
      <c r="U16" s="40" t="str">
        <f t="shared" si="4"/>
        <v/>
      </c>
      <c r="V16" s="40" t="str">
        <f t="shared" si="4"/>
        <v/>
      </c>
      <c r="W16" s="40" t="str">
        <f t="shared" si="4"/>
        <v/>
      </c>
      <c r="X16" s="40" t="str">
        <f t="shared" si="4"/>
        <v/>
      </c>
      <c r="Y16" s="40" t="str">
        <f t="shared" si="4"/>
        <v/>
      </c>
      <c r="Z16" s="40" t="str">
        <f t="shared" si="4"/>
        <v/>
      </c>
      <c r="AA16" s="40" t="str">
        <f t="shared" si="4"/>
        <v/>
      </c>
      <c r="AB16" s="40" t="str">
        <f t="shared" si="5"/>
        <v/>
      </c>
      <c r="AC16" s="40" t="str">
        <f t="shared" si="5"/>
        <v/>
      </c>
      <c r="AD16" s="40" t="str">
        <f t="shared" si="5"/>
        <v/>
      </c>
      <c r="AE16" s="40" t="str">
        <f t="shared" si="5"/>
        <v/>
      </c>
      <c r="AF16" s="40" t="str">
        <f t="shared" si="5"/>
        <v/>
      </c>
      <c r="AG16" s="40" t="str">
        <f t="shared" si="5"/>
        <v/>
      </c>
      <c r="AH16" s="40" t="str">
        <f t="shared" si="5"/>
        <v/>
      </c>
      <c r="AI16" s="40" t="str">
        <f t="shared" si="5"/>
        <v/>
      </c>
      <c r="AJ16" s="40" t="str">
        <f t="shared" si="5"/>
        <v/>
      </c>
      <c r="AK16" s="40" t="str">
        <f t="shared" si="5"/>
        <v/>
      </c>
      <c r="AL16" s="40" t="str">
        <f t="shared" si="5"/>
        <v/>
      </c>
      <c r="AM16" s="40" t="str">
        <f t="shared" si="5"/>
        <v/>
      </c>
      <c r="AN16" s="40" t="str">
        <f t="shared" si="5"/>
        <v/>
      </c>
      <c r="AO16" s="40" t="str">
        <f t="shared" si="5"/>
        <v/>
      </c>
      <c r="AP16" s="40" t="str">
        <f t="shared" si="5"/>
        <v/>
      </c>
      <c r="AQ16" s="40" t="str">
        <f t="shared" si="5"/>
        <v/>
      </c>
      <c r="AR16" s="40" t="str">
        <f t="shared" si="6"/>
        <v/>
      </c>
      <c r="AS16" s="40" t="str">
        <f t="shared" si="6"/>
        <v/>
      </c>
      <c r="AT16" s="40" t="str">
        <f t="shared" si="6"/>
        <v/>
      </c>
      <c r="AU16" s="40" t="str">
        <f t="shared" si="6"/>
        <v/>
      </c>
      <c r="AV16" s="40" t="str">
        <f t="shared" si="6"/>
        <v/>
      </c>
      <c r="AW16" s="40" t="str">
        <f t="shared" si="6"/>
        <v/>
      </c>
      <c r="AX16" s="40" t="str">
        <f t="shared" si="6"/>
        <v/>
      </c>
      <c r="AY16" s="40" t="str">
        <f t="shared" si="6"/>
        <v/>
      </c>
      <c r="AZ16" s="40" t="str">
        <f t="shared" si="6"/>
        <v/>
      </c>
      <c r="BA16" s="40" t="str">
        <f t="shared" si="6"/>
        <v/>
      </c>
      <c r="BB16" s="40" t="str">
        <f t="shared" si="6"/>
        <v/>
      </c>
      <c r="BC16" s="40" t="str">
        <f t="shared" si="6"/>
        <v/>
      </c>
      <c r="BD16" s="40" t="str">
        <f t="shared" si="6"/>
        <v/>
      </c>
      <c r="BE16" s="40" t="str">
        <f t="shared" si="6"/>
        <v/>
      </c>
      <c r="BF16" s="40" t="str">
        <f t="shared" si="6"/>
        <v/>
      </c>
      <c r="BG16" s="40" t="str">
        <f t="shared" si="6"/>
        <v/>
      </c>
      <c r="BH16" s="40" t="str">
        <f t="shared" si="7"/>
        <v/>
      </c>
      <c r="BI16" s="40" t="str">
        <f t="shared" si="7"/>
        <v/>
      </c>
      <c r="BJ16" s="40" t="str">
        <f t="shared" si="7"/>
        <v/>
      </c>
      <c r="BK16" s="40" t="str">
        <f t="shared" si="7"/>
        <v/>
      </c>
      <c r="BL16" s="40" t="str">
        <f t="shared" si="7"/>
        <v/>
      </c>
      <c r="BM16" s="40" t="str">
        <f t="shared" si="7"/>
        <v/>
      </c>
      <c r="BN16" s="40" t="str">
        <f t="shared" si="7"/>
        <v/>
      </c>
      <c r="BO16" s="40" t="str">
        <f t="shared" si="7"/>
        <v/>
      </c>
      <c r="BP16" s="40" t="str">
        <f t="shared" si="7"/>
        <v/>
      </c>
      <c r="BQ16" s="40" t="str">
        <f t="shared" si="7"/>
        <v/>
      </c>
      <c r="BR16" s="40" t="str">
        <f t="shared" si="7"/>
        <v/>
      </c>
      <c r="BS16" s="40" t="str">
        <f t="shared" si="7"/>
        <v/>
      </c>
      <c r="BT16" s="41">
        <f t="shared" si="9"/>
        <v>6714400.0477499999</v>
      </c>
    </row>
    <row r="17" spans="1:72" ht="13.5" customHeight="1">
      <c r="A17" s="713">
        <f>'S-Collection'!B11</f>
        <v>46</v>
      </c>
      <c r="B17" s="189" t="str">
        <f>INDEX('S-Collection'!$C$6:$C$32,MATCH(Table19578101112131423617272815161718726[[#This Row],[a]],'S-Collection'!$B$6:$B$32,0))</f>
        <v>350 mm Siphon (32 Street/Railroad intersection - WWTP)</v>
      </c>
      <c r="C17" s="146">
        <f>INDEX('S-Collection'!$F$6:$F$32,MATCH(Table19578101112131423617272815161718726[[#This Row],[a]],'S-Collection'!$B$6:$B$32,0))</f>
        <v>2031</v>
      </c>
      <c r="D17" s="146">
        <f>INDEX('S-Collection'!$G$6:$G$32,MATCH(Table19578101112131423617272815161718726[[#This Row],[a]],'S-Collection'!$B$6:$B$32,0))</f>
        <v>2032</v>
      </c>
      <c r="E17" s="130">
        <f t="shared" si="8"/>
        <v>2</v>
      </c>
      <c r="F17" s="124">
        <f>INDEX('S-Collection'!$K$6:$K$32,MATCH(Table19578101112131423617272815161718726[[#This Row],[a]],'S-Collection'!$B$6:$B$32,0))</f>
        <v>5450642.4999999991</v>
      </c>
      <c r="G17" s="100"/>
      <c r="H17" s="104">
        <f>+Table19578101112131423617272815161718726[[#This Row],[f]]-Table19578101112131423617272815161718726[[#This Row],[g]]</f>
        <v>5450642.4999999991</v>
      </c>
      <c r="I17" s="110">
        <f>INDEX('S-Collection'!$H$6:$H$32,MATCH(Table19578101112131423617272815161718726[[#This Row],[a]],'S-Collection'!$B$6:$B$32,0))</f>
        <v>1</v>
      </c>
      <c r="J17" s="102">
        <f>1-Table19578101112131423617272815161718726[[#This Row],[i]]</f>
        <v>0</v>
      </c>
      <c r="K17" s="105">
        <f>(Table19578101112131423617272815161718726[[#This Row],[h]]*Table19578101112131423617272815161718726[[#This Row],[i]])</f>
        <v>5450642.4999999991</v>
      </c>
      <c r="L17" s="40" t="str">
        <f t="shared" si="4"/>
        <v/>
      </c>
      <c r="M17" s="40" t="str">
        <f t="shared" si="4"/>
        <v/>
      </c>
      <c r="N17" s="40" t="str">
        <f t="shared" si="4"/>
        <v/>
      </c>
      <c r="O17" s="40" t="str">
        <f t="shared" si="4"/>
        <v/>
      </c>
      <c r="P17" s="40" t="str">
        <f t="shared" si="4"/>
        <v/>
      </c>
      <c r="Q17" s="40">
        <f t="shared" si="4"/>
        <v>3083450.8450153428</v>
      </c>
      <c r="R17" s="40">
        <f t="shared" si="4"/>
        <v>3160537.116140726</v>
      </c>
      <c r="S17" s="40" t="str">
        <f t="shared" si="4"/>
        <v/>
      </c>
      <c r="T17" s="40" t="str">
        <f t="shared" si="4"/>
        <v/>
      </c>
      <c r="U17" s="40" t="str">
        <f t="shared" si="4"/>
        <v/>
      </c>
      <c r="V17" s="40" t="str">
        <f t="shared" si="4"/>
        <v/>
      </c>
      <c r="W17" s="40" t="str">
        <f t="shared" si="4"/>
        <v/>
      </c>
      <c r="X17" s="40" t="str">
        <f t="shared" si="4"/>
        <v/>
      </c>
      <c r="Y17" s="40" t="str">
        <f t="shared" si="4"/>
        <v/>
      </c>
      <c r="Z17" s="40" t="str">
        <f t="shared" si="4"/>
        <v/>
      </c>
      <c r="AA17" s="40" t="str">
        <f t="shared" si="4"/>
        <v/>
      </c>
      <c r="AB17" s="40" t="str">
        <f t="shared" si="5"/>
        <v/>
      </c>
      <c r="AC17" s="40" t="str">
        <f t="shared" si="5"/>
        <v/>
      </c>
      <c r="AD17" s="40" t="str">
        <f t="shared" si="5"/>
        <v/>
      </c>
      <c r="AE17" s="40" t="str">
        <f t="shared" si="5"/>
        <v/>
      </c>
      <c r="AF17" s="40" t="str">
        <f t="shared" si="5"/>
        <v/>
      </c>
      <c r="AG17" s="40" t="str">
        <f t="shared" si="5"/>
        <v/>
      </c>
      <c r="AH17" s="40" t="str">
        <f t="shared" si="5"/>
        <v/>
      </c>
      <c r="AI17" s="40" t="str">
        <f t="shared" si="5"/>
        <v/>
      </c>
      <c r="AJ17" s="40" t="str">
        <f t="shared" si="5"/>
        <v/>
      </c>
      <c r="AK17" s="40" t="str">
        <f t="shared" si="5"/>
        <v/>
      </c>
      <c r="AL17" s="40" t="str">
        <f t="shared" si="5"/>
        <v/>
      </c>
      <c r="AM17" s="40" t="str">
        <f t="shared" si="5"/>
        <v/>
      </c>
      <c r="AN17" s="40" t="str">
        <f t="shared" si="5"/>
        <v/>
      </c>
      <c r="AO17" s="40" t="str">
        <f t="shared" si="5"/>
        <v/>
      </c>
      <c r="AP17" s="40" t="str">
        <f t="shared" si="5"/>
        <v/>
      </c>
      <c r="AQ17" s="40" t="str">
        <f t="shared" si="5"/>
        <v/>
      </c>
      <c r="AR17" s="40" t="str">
        <f t="shared" si="6"/>
        <v/>
      </c>
      <c r="AS17" s="40" t="str">
        <f t="shared" si="6"/>
        <v/>
      </c>
      <c r="AT17" s="40" t="str">
        <f t="shared" si="6"/>
        <v/>
      </c>
      <c r="AU17" s="40" t="str">
        <f t="shared" si="6"/>
        <v/>
      </c>
      <c r="AV17" s="40" t="str">
        <f t="shared" si="6"/>
        <v/>
      </c>
      <c r="AW17" s="40" t="str">
        <f t="shared" si="6"/>
        <v/>
      </c>
      <c r="AX17" s="40" t="str">
        <f t="shared" si="6"/>
        <v/>
      </c>
      <c r="AY17" s="40" t="str">
        <f t="shared" si="6"/>
        <v/>
      </c>
      <c r="AZ17" s="40" t="str">
        <f t="shared" si="6"/>
        <v/>
      </c>
      <c r="BA17" s="40" t="str">
        <f t="shared" si="6"/>
        <v/>
      </c>
      <c r="BB17" s="40" t="str">
        <f t="shared" si="6"/>
        <v/>
      </c>
      <c r="BC17" s="40" t="str">
        <f t="shared" si="6"/>
        <v/>
      </c>
      <c r="BD17" s="40" t="str">
        <f t="shared" si="6"/>
        <v/>
      </c>
      <c r="BE17" s="40" t="str">
        <f t="shared" si="6"/>
        <v/>
      </c>
      <c r="BF17" s="40" t="str">
        <f t="shared" si="6"/>
        <v/>
      </c>
      <c r="BG17" s="40" t="str">
        <f t="shared" si="6"/>
        <v/>
      </c>
      <c r="BH17" s="40" t="str">
        <f t="shared" si="7"/>
        <v/>
      </c>
      <c r="BI17" s="40" t="str">
        <f t="shared" si="7"/>
        <v/>
      </c>
      <c r="BJ17" s="40" t="str">
        <f t="shared" si="7"/>
        <v/>
      </c>
      <c r="BK17" s="40" t="str">
        <f t="shared" si="7"/>
        <v/>
      </c>
      <c r="BL17" s="40" t="str">
        <f t="shared" si="7"/>
        <v/>
      </c>
      <c r="BM17" s="40" t="str">
        <f t="shared" si="7"/>
        <v/>
      </c>
      <c r="BN17" s="40" t="str">
        <f t="shared" si="7"/>
        <v/>
      </c>
      <c r="BO17" s="40" t="str">
        <f t="shared" si="7"/>
        <v/>
      </c>
      <c r="BP17" s="40" t="str">
        <f t="shared" si="7"/>
        <v/>
      </c>
      <c r="BQ17" s="40" t="str">
        <f t="shared" si="7"/>
        <v/>
      </c>
      <c r="BR17" s="40" t="str">
        <f t="shared" si="7"/>
        <v/>
      </c>
      <c r="BS17" s="40" t="str">
        <f t="shared" si="7"/>
        <v/>
      </c>
      <c r="BT17" s="41">
        <f t="shared" si="9"/>
        <v>6243987.9611560684</v>
      </c>
    </row>
    <row r="18" spans="1:72" ht="13.5" customHeight="1">
      <c r="A18" s="713">
        <f>'S-Collection'!B12</f>
        <v>60</v>
      </c>
      <c r="B18" s="189" t="str">
        <f>INDEX('S-Collection'!$C$6:$C$32,MATCH(Table19578101112131423617272815161718726[[#This Row],[a]],'S-Collection'!$B$6:$B$32,0))</f>
        <v>675 mm Gravity Sewer (S-3, Highway 7/2A Intersection - Highway 7/32nd Street Intersection)</v>
      </c>
      <c r="C18" s="146">
        <f>INDEX('S-Collection'!$F$6:$F$32,MATCH(Table19578101112131423617272815161718726[[#This Row],[a]],'S-Collection'!$B$6:$B$32,0))</f>
        <v>2031</v>
      </c>
      <c r="D18" s="146">
        <f>INDEX('S-Collection'!$G$6:$G$32,MATCH(Table19578101112131423617272815161718726[[#This Row],[a]],'S-Collection'!$B$6:$B$32,0))</f>
        <v>2032</v>
      </c>
      <c r="E18" s="130">
        <f t="shared" si="8"/>
        <v>2</v>
      </c>
      <c r="F18" s="124">
        <f>INDEX('S-Collection'!$K$6:$K$32,MATCH(Table19578101112131423617272815161718726[[#This Row],[a]],'S-Collection'!$B$6:$B$32,0))</f>
        <v>3709756.8749999991</v>
      </c>
      <c r="G18" s="100"/>
      <c r="H18" s="104">
        <f>+Table19578101112131423617272815161718726[[#This Row],[f]]-Table19578101112131423617272815161718726[[#This Row],[g]]</f>
        <v>3709756.8749999991</v>
      </c>
      <c r="I18" s="110">
        <f>INDEX('S-Collection'!$H$6:$H$32,MATCH(Table19578101112131423617272815161718726[[#This Row],[a]],'S-Collection'!$B$6:$B$32,0))</f>
        <v>1</v>
      </c>
      <c r="J18" s="102">
        <f>1-Table19578101112131423617272815161718726[[#This Row],[i]]</f>
        <v>0</v>
      </c>
      <c r="K18" s="105">
        <f>(Table19578101112131423617272815161718726[[#This Row],[h]]*Table19578101112131423617272815161718726[[#This Row],[i]])</f>
        <v>3709756.8749999991</v>
      </c>
      <c r="L18" s="40" t="str">
        <f t="shared" si="4"/>
        <v/>
      </c>
      <c r="M18" s="40" t="str">
        <f t="shared" si="4"/>
        <v/>
      </c>
      <c r="N18" s="40" t="str">
        <f t="shared" si="4"/>
        <v/>
      </c>
      <c r="O18" s="40" t="str">
        <f t="shared" si="4"/>
        <v/>
      </c>
      <c r="P18" s="40" t="str">
        <f t="shared" si="4"/>
        <v/>
      </c>
      <c r="Q18" s="40">
        <f t="shared" si="4"/>
        <v>2098624.6981012286</v>
      </c>
      <c r="R18" s="40">
        <f t="shared" si="4"/>
        <v>2151090.3155537592</v>
      </c>
      <c r="S18" s="40" t="str">
        <f t="shared" si="4"/>
        <v/>
      </c>
      <c r="T18" s="40" t="str">
        <f t="shared" si="4"/>
        <v/>
      </c>
      <c r="U18" s="40" t="str">
        <f t="shared" si="4"/>
        <v/>
      </c>
      <c r="V18" s="40" t="str">
        <f t="shared" si="4"/>
        <v/>
      </c>
      <c r="W18" s="40" t="str">
        <f t="shared" si="4"/>
        <v/>
      </c>
      <c r="X18" s="40" t="str">
        <f t="shared" si="4"/>
        <v/>
      </c>
      <c r="Y18" s="40" t="str">
        <f t="shared" si="4"/>
        <v/>
      </c>
      <c r="Z18" s="40" t="str">
        <f t="shared" si="4"/>
        <v/>
      </c>
      <c r="AA18" s="40" t="str">
        <f t="shared" si="4"/>
        <v/>
      </c>
      <c r="AB18" s="40" t="str">
        <f t="shared" si="5"/>
        <v/>
      </c>
      <c r="AC18" s="40" t="str">
        <f t="shared" si="5"/>
        <v/>
      </c>
      <c r="AD18" s="40" t="str">
        <f t="shared" si="5"/>
        <v/>
      </c>
      <c r="AE18" s="40" t="str">
        <f t="shared" si="5"/>
        <v/>
      </c>
      <c r="AF18" s="40" t="str">
        <f t="shared" si="5"/>
        <v/>
      </c>
      <c r="AG18" s="40" t="str">
        <f t="shared" si="5"/>
        <v/>
      </c>
      <c r="AH18" s="40" t="str">
        <f t="shared" si="5"/>
        <v/>
      </c>
      <c r="AI18" s="40" t="str">
        <f t="shared" si="5"/>
        <v/>
      </c>
      <c r="AJ18" s="40" t="str">
        <f t="shared" si="5"/>
        <v/>
      </c>
      <c r="AK18" s="40" t="str">
        <f t="shared" si="5"/>
        <v/>
      </c>
      <c r="AL18" s="40" t="str">
        <f t="shared" si="5"/>
        <v/>
      </c>
      <c r="AM18" s="40" t="str">
        <f t="shared" si="5"/>
        <v/>
      </c>
      <c r="AN18" s="40" t="str">
        <f t="shared" si="5"/>
        <v/>
      </c>
      <c r="AO18" s="40" t="str">
        <f t="shared" si="5"/>
        <v/>
      </c>
      <c r="AP18" s="40" t="str">
        <f t="shared" si="5"/>
        <v/>
      </c>
      <c r="AQ18" s="40" t="str">
        <f t="shared" si="5"/>
        <v/>
      </c>
      <c r="AR18" s="40" t="str">
        <f t="shared" si="6"/>
        <v/>
      </c>
      <c r="AS18" s="40" t="str">
        <f t="shared" si="6"/>
        <v/>
      </c>
      <c r="AT18" s="40" t="str">
        <f t="shared" si="6"/>
        <v/>
      </c>
      <c r="AU18" s="40" t="str">
        <f t="shared" si="6"/>
        <v/>
      </c>
      <c r="AV18" s="40" t="str">
        <f t="shared" si="6"/>
        <v/>
      </c>
      <c r="AW18" s="40" t="str">
        <f t="shared" si="6"/>
        <v/>
      </c>
      <c r="AX18" s="40" t="str">
        <f t="shared" si="6"/>
        <v/>
      </c>
      <c r="AY18" s="40" t="str">
        <f t="shared" si="6"/>
        <v/>
      </c>
      <c r="AZ18" s="40" t="str">
        <f t="shared" si="6"/>
        <v/>
      </c>
      <c r="BA18" s="40" t="str">
        <f t="shared" si="6"/>
        <v/>
      </c>
      <c r="BB18" s="40" t="str">
        <f t="shared" si="6"/>
        <v/>
      </c>
      <c r="BC18" s="40" t="str">
        <f t="shared" si="6"/>
        <v/>
      </c>
      <c r="BD18" s="40" t="str">
        <f t="shared" si="6"/>
        <v/>
      </c>
      <c r="BE18" s="40" t="str">
        <f t="shared" si="6"/>
        <v/>
      </c>
      <c r="BF18" s="40" t="str">
        <f t="shared" si="6"/>
        <v/>
      </c>
      <c r="BG18" s="40" t="str">
        <f t="shared" si="6"/>
        <v/>
      </c>
      <c r="BH18" s="40" t="str">
        <f t="shared" si="7"/>
        <v/>
      </c>
      <c r="BI18" s="40" t="str">
        <f t="shared" si="7"/>
        <v/>
      </c>
      <c r="BJ18" s="40" t="str">
        <f t="shared" si="7"/>
        <v/>
      </c>
      <c r="BK18" s="40" t="str">
        <f t="shared" si="7"/>
        <v/>
      </c>
      <c r="BL18" s="40" t="str">
        <f t="shared" si="7"/>
        <v/>
      </c>
      <c r="BM18" s="40" t="str">
        <f t="shared" si="7"/>
        <v/>
      </c>
      <c r="BN18" s="40" t="str">
        <f t="shared" si="7"/>
        <v/>
      </c>
      <c r="BO18" s="40" t="str">
        <f t="shared" si="7"/>
        <v/>
      </c>
      <c r="BP18" s="40" t="str">
        <f t="shared" si="7"/>
        <v/>
      </c>
      <c r="BQ18" s="40" t="str">
        <f t="shared" si="7"/>
        <v/>
      </c>
      <c r="BR18" s="40" t="str">
        <f t="shared" si="7"/>
        <v/>
      </c>
      <c r="BS18" s="40" t="str">
        <f t="shared" si="7"/>
        <v/>
      </c>
      <c r="BT18" s="41">
        <f>SUM(L18:BS18)</f>
        <v>4249715.0136549883</v>
      </c>
    </row>
    <row r="19" spans="1:72" ht="13.5" customHeight="1" thickBot="1">
      <c r="A19" s="713">
        <f>'S-Collection'!B13</f>
        <v>61</v>
      </c>
      <c r="B19" s="189" t="str">
        <f>INDEX('S-Collection'!$C$6:$C$32,MATCH(Table19578101112131423617272815161718726[[#This Row],[a]],'S-Collection'!$B$6:$B$32,0))</f>
        <v>750 mm Gravity Sewer (Highway 7/32nd Street Intersection - 32 Street/Railroad intersection)</v>
      </c>
      <c r="C19" s="146">
        <f>INDEX('S-Collection'!$F$6:$F$32,MATCH(Table19578101112131423617272815161718726[[#This Row],[a]],'S-Collection'!$B$6:$B$32,0))</f>
        <v>2032</v>
      </c>
      <c r="D19" s="146">
        <f>INDEX('S-Collection'!$G$6:$G$32,MATCH(Table19578101112131423617272815161718726[[#This Row],[a]],'S-Collection'!$B$6:$B$32,0))</f>
        <v>2033</v>
      </c>
      <c r="E19" s="130">
        <f t="shared" si="8"/>
        <v>2</v>
      </c>
      <c r="F19" s="124">
        <f>INDEX('S-Collection'!$K$6:$K$32,MATCH(Table19578101112131423617272815161718726[[#This Row],[a]],'S-Collection'!$B$6:$B$32,0))</f>
        <v>1546519.9999999995</v>
      </c>
      <c r="G19" s="100"/>
      <c r="H19" s="104">
        <f>+Table19578101112131423617272815161718726[[#This Row],[f]]-Table19578101112131423617272815161718726[[#This Row],[g]]</f>
        <v>1546519.9999999995</v>
      </c>
      <c r="I19" s="110">
        <f>INDEX('S-Collection'!$H$6:$H$32,MATCH(Table19578101112131423617272815161718726[[#This Row],[a]],'S-Collection'!$B$6:$B$32,0))</f>
        <v>1</v>
      </c>
      <c r="J19" s="102">
        <f>1-Table19578101112131423617272815161718726[[#This Row],[i]]</f>
        <v>0</v>
      </c>
      <c r="K19" s="105">
        <f>(Table19578101112131423617272815161718726[[#This Row],[h]]*Table19578101112131423617272815161718726[[#This Row],[i]])</f>
        <v>1546519.9999999995</v>
      </c>
      <c r="L19" s="40" t="str">
        <f t="shared" si="4"/>
        <v/>
      </c>
      <c r="M19" s="40" t="str">
        <f t="shared" si="4"/>
        <v/>
      </c>
      <c r="N19" s="40" t="str">
        <f t="shared" si="4"/>
        <v/>
      </c>
      <c r="O19" s="40" t="str">
        <f t="shared" si="4"/>
        <v/>
      </c>
      <c r="P19" s="40" t="str">
        <f t="shared" si="4"/>
        <v/>
      </c>
      <c r="Q19" s="40" t="str">
        <f t="shared" si="4"/>
        <v/>
      </c>
      <c r="R19" s="40">
        <f>IF(AND(R$10=$C19,R$10=$D19),(($K19/$E19)*R$6),IF(AND(R$10&gt;=$C19,R$10&lt;=$D19),(($K19/$E19)*R$6),""))</f>
        <v>896744.5325672992</v>
      </c>
      <c r="S19" s="40">
        <f t="shared" si="4"/>
        <v>919163.14588148159</v>
      </c>
      <c r="T19" s="40" t="str">
        <f t="shared" si="4"/>
        <v/>
      </c>
      <c r="U19" s="40" t="str">
        <f t="shared" si="4"/>
        <v/>
      </c>
      <c r="V19" s="40" t="str">
        <f t="shared" si="4"/>
        <v/>
      </c>
      <c r="W19" s="40" t="str">
        <f t="shared" si="4"/>
        <v/>
      </c>
      <c r="X19" s="40" t="str">
        <f t="shared" si="4"/>
        <v/>
      </c>
      <c r="Y19" s="40" t="str">
        <f t="shared" si="4"/>
        <v/>
      </c>
      <c r="Z19" s="40" t="str">
        <f t="shared" si="4"/>
        <v/>
      </c>
      <c r="AA19" s="40" t="str">
        <f t="shared" si="4"/>
        <v/>
      </c>
      <c r="AB19" s="40" t="str">
        <f t="shared" si="5"/>
        <v/>
      </c>
      <c r="AC19" s="40" t="str">
        <f t="shared" si="5"/>
        <v/>
      </c>
      <c r="AD19" s="40" t="str">
        <f t="shared" si="5"/>
        <v/>
      </c>
      <c r="AE19" s="40" t="str">
        <f t="shared" si="5"/>
        <v/>
      </c>
      <c r="AF19" s="40" t="str">
        <f t="shared" si="5"/>
        <v/>
      </c>
      <c r="AG19" s="40" t="str">
        <f t="shared" si="5"/>
        <v/>
      </c>
      <c r="AH19" s="40" t="str">
        <f t="shared" si="5"/>
        <v/>
      </c>
      <c r="AI19" s="40" t="str">
        <f t="shared" si="5"/>
        <v/>
      </c>
      <c r="AJ19" s="40" t="str">
        <f t="shared" si="5"/>
        <v/>
      </c>
      <c r="AK19" s="40" t="str">
        <f t="shared" si="5"/>
        <v/>
      </c>
      <c r="AL19" s="40" t="str">
        <f t="shared" si="5"/>
        <v/>
      </c>
      <c r="AM19" s="40" t="str">
        <f t="shared" si="5"/>
        <v/>
      </c>
      <c r="AN19" s="40" t="str">
        <f t="shared" si="5"/>
        <v/>
      </c>
      <c r="AO19" s="40" t="str">
        <f t="shared" si="5"/>
        <v/>
      </c>
      <c r="AP19" s="40" t="str">
        <f t="shared" si="5"/>
        <v/>
      </c>
      <c r="AQ19" s="40" t="str">
        <f t="shared" si="5"/>
        <v/>
      </c>
      <c r="AR19" s="40" t="str">
        <f t="shared" si="6"/>
        <v/>
      </c>
      <c r="AS19" s="40" t="str">
        <f t="shared" si="6"/>
        <v/>
      </c>
      <c r="AT19" s="40" t="str">
        <f t="shared" si="6"/>
        <v/>
      </c>
      <c r="AU19" s="40" t="str">
        <f t="shared" si="6"/>
        <v/>
      </c>
      <c r="AV19" s="40" t="str">
        <f t="shared" si="6"/>
        <v/>
      </c>
      <c r="AW19" s="40" t="str">
        <f t="shared" si="6"/>
        <v/>
      </c>
      <c r="AX19" s="40" t="str">
        <f t="shared" si="6"/>
        <v/>
      </c>
      <c r="AY19" s="40" t="str">
        <f t="shared" si="6"/>
        <v/>
      </c>
      <c r="AZ19" s="40" t="str">
        <f t="shared" si="6"/>
        <v/>
      </c>
      <c r="BA19" s="40" t="str">
        <f t="shared" si="6"/>
        <v/>
      </c>
      <c r="BB19" s="40" t="str">
        <f t="shared" si="6"/>
        <v/>
      </c>
      <c r="BC19" s="40" t="str">
        <f t="shared" si="6"/>
        <v/>
      </c>
      <c r="BD19" s="40" t="str">
        <f t="shared" si="6"/>
        <v/>
      </c>
      <c r="BE19" s="40" t="str">
        <f t="shared" si="6"/>
        <v/>
      </c>
      <c r="BF19" s="40" t="str">
        <f t="shared" si="6"/>
        <v/>
      </c>
      <c r="BG19" s="40" t="str">
        <f t="shared" si="6"/>
        <v/>
      </c>
      <c r="BH19" s="40" t="str">
        <f t="shared" si="7"/>
        <v/>
      </c>
      <c r="BI19" s="40" t="str">
        <f t="shared" si="7"/>
        <v/>
      </c>
      <c r="BJ19" s="40" t="str">
        <f t="shared" si="7"/>
        <v/>
      </c>
      <c r="BK19" s="40" t="str">
        <f t="shared" si="7"/>
        <v/>
      </c>
      <c r="BL19" s="40" t="str">
        <f t="shared" si="7"/>
        <v/>
      </c>
      <c r="BM19" s="40" t="str">
        <f t="shared" si="7"/>
        <v/>
      </c>
      <c r="BN19" s="40" t="str">
        <f t="shared" si="7"/>
        <v/>
      </c>
      <c r="BO19" s="40" t="str">
        <f t="shared" si="7"/>
        <v/>
      </c>
      <c r="BP19" s="40" t="str">
        <f t="shared" si="7"/>
        <v/>
      </c>
      <c r="BQ19" s="40" t="str">
        <f t="shared" si="7"/>
        <v/>
      </c>
      <c r="BR19" s="40" t="str">
        <f t="shared" si="7"/>
        <v/>
      </c>
      <c r="BS19" s="40" t="str">
        <f t="shared" si="7"/>
        <v/>
      </c>
      <c r="BT19" s="41">
        <f>SUM(L19:BS19)</f>
        <v>1815907.6784487809</v>
      </c>
    </row>
    <row r="20" spans="1:72" ht="15.6" thickTop="1" thickBot="1">
      <c r="A20" s="6"/>
      <c r="B20" s="6"/>
      <c r="C20" s="6"/>
      <c r="D20" s="6"/>
      <c r="E20" s="6"/>
      <c r="F20" s="12">
        <f>SUM(Table19578101112131423617272815161718726[f])</f>
        <v>29135840.969999999</v>
      </c>
      <c r="G20" s="12"/>
      <c r="H20" s="12"/>
      <c r="I20" s="12"/>
      <c r="J20" s="12"/>
      <c r="K20" s="7">
        <f>SUM(Table19578101112131423617272815161718726[k])</f>
        <v>29135840.969999999</v>
      </c>
      <c r="L20" s="7">
        <f t="shared" ref="L20:AQ20" si="10">+SUM(L12:L19)</f>
        <v>6080420.0474999994</v>
      </c>
      <c r="M20" s="7">
        <f t="shared" si="10"/>
        <v>4418462.3596249996</v>
      </c>
      <c r="N20" s="7">
        <f t="shared" si="10"/>
        <v>522655.40371093736</v>
      </c>
      <c r="O20" s="7">
        <f t="shared" si="10"/>
        <v>0</v>
      </c>
      <c r="P20" s="7">
        <f t="shared" si="10"/>
        <v>0</v>
      </c>
      <c r="Q20" s="7">
        <f t="shared" si="10"/>
        <v>9447674.3701549508</v>
      </c>
      <c r="R20" s="7">
        <f t="shared" si="10"/>
        <v>10580610.761976123</v>
      </c>
      <c r="S20" s="7">
        <f t="shared" si="10"/>
        <v>919163.14588148159</v>
      </c>
      <c r="T20" s="7">
        <f t="shared" si="10"/>
        <v>0</v>
      </c>
      <c r="U20" s="7">
        <f t="shared" si="10"/>
        <v>0</v>
      </c>
      <c r="V20" s="7">
        <f t="shared" si="10"/>
        <v>0</v>
      </c>
      <c r="W20" s="7">
        <f t="shared" si="10"/>
        <v>0</v>
      </c>
      <c r="X20" s="7">
        <f t="shared" si="10"/>
        <v>0</v>
      </c>
      <c r="Y20" s="7">
        <f t="shared" si="10"/>
        <v>0</v>
      </c>
      <c r="Z20" s="7">
        <f t="shared" si="10"/>
        <v>0</v>
      </c>
      <c r="AA20" s="7">
        <f t="shared" si="10"/>
        <v>0</v>
      </c>
      <c r="AB20" s="7">
        <f t="shared" si="10"/>
        <v>0</v>
      </c>
      <c r="AC20" s="7">
        <f t="shared" si="10"/>
        <v>0</v>
      </c>
      <c r="AD20" s="7">
        <f t="shared" si="10"/>
        <v>0</v>
      </c>
      <c r="AE20" s="7">
        <f t="shared" si="10"/>
        <v>0</v>
      </c>
      <c r="AF20" s="7">
        <f t="shared" si="10"/>
        <v>0</v>
      </c>
      <c r="AG20" s="7">
        <f t="shared" si="10"/>
        <v>0</v>
      </c>
      <c r="AH20" s="7">
        <f t="shared" si="10"/>
        <v>0</v>
      </c>
      <c r="AI20" s="7">
        <f t="shared" si="10"/>
        <v>0</v>
      </c>
      <c r="AJ20" s="7">
        <f t="shared" si="10"/>
        <v>0</v>
      </c>
      <c r="AK20" s="7">
        <f t="shared" si="10"/>
        <v>0</v>
      </c>
      <c r="AL20" s="7">
        <f t="shared" si="10"/>
        <v>0</v>
      </c>
      <c r="AM20" s="7">
        <f t="shared" si="10"/>
        <v>0</v>
      </c>
      <c r="AN20" s="7">
        <f t="shared" si="10"/>
        <v>0</v>
      </c>
      <c r="AO20" s="7">
        <f t="shared" si="10"/>
        <v>0</v>
      </c>
      <c r="AP20" s="7">
        <f t="shared" si="10"/>
        <v>0</v>
      </c>
      <c r="AQ20" s="7">
        <f t="shared" si="10"/>
        <v>0</v>
      </c>
      <c r="AR20" s="7">
        <f t="shared" ref="AR20:BT20" si="11">+SUM(AR12:AR19)</f>
        <v>0</v>
      </c>
      <c r="AS20" s="7">
        <f t="shared" si="11"/>
        <v>0</v>
      </c>
      <c r="AT20" s="7">
        <f t="shared" si="11"/>
        <v>0</v>
      </c>
      <c r="AU20" s="7">
        <f t="shared" si="11"/>
        <v>0</v>
      </c>
      <c r="AV20" s="7">
        <f t="shared" si="11"/>
        <v>0</v>
      </c>
      <c r="AW20" s="7">
        <f t="shared" si="11"/>
        <v>0</v>
      </c>
      <c r="AX20" s="7">
        <f t="shared" si="11"/>
        <v>0</v>
      </c>
      <c r="AY20" s="7">
        <f t="shared" si="11"/>
        <v>0</v>
      </c>
      <c r="AZ20" s="7">
        <f t="shared" si="11"/>
        <v>0</v>
      </c>
      <c r="BA20" s="7">
        <f t="shared" si="11"/>
        <v>0</v>
      </c>
      <c r="BB20" s="7">
        <f t="shared" si="11"/>
        <v>0</v>
      </c>
      <c r="BC20" s="7">
        <f t="shared" si="11"/>
        <v>0</v>
      </c>
      <c r="BD20" s="7">
        <f t="shared" si="11"/>
        <v>0</v>
      </c>
      <c r="BE20" s="7">
        <f t="shared" si="11"/>
        <v>0</v>
      </c>
      <c r="BF20" s="7">
        <f t="shared" si="11"/>
        <v>0</v>
      </c>
      <c r="BG20" s="7">
        <f t="shared" si="11"/>
        <v>0</v>
      </c>
      <c r="BH20" s="7">
        <f t="shared" si="11"/>
        <v>0</v>
      </c>
      <c r="BI20" s="7">
        <f t="shared" si="11"/>
        <v>0</v>
      </c>
      <c r="BJ20" s="7">
        <f t="shared" si="11"/>
        <v>0</v>
      </c>
      <c r="BK20" s="7">
        <f t="shared" si="11"/>
        <v>0</v>
      </c>
      <c r="BL20" s="7">
        <f t="shared" si="11"/>
        <v>0</v>
      </c>
      <c r="BM20" s="7">
        <f t="shared" si="11"/>
        <v>0</v>
      </c>
      <c r="BN20" s="7">
        <f t="shared" si="11"/>
        <v>0</v>
      </c>
      <c r="BO20" s="7">
        <f t="shared" si="11"/>
        <v>0</v>
      </c>
      <c r="BP20" s="7">
        <f t="shared" si="11"/>
        <v>0</v>
      </c>
      <c r="BQ20" s="7">
        <f t="shared" si="11"/>
        <v>0</v>
      </c>
      <c r="BR20" s="7">
        <f t="shared" si="11"/>
        <v>0</v>
      </c>
      <c r="BS20" s="7">
        <f t="shared" si="11"/>
        <v>0</v>
      </c>
      <c r="BT20" s="7">
        <f t="shared" si="11"/>
        <v>31968986.088848498</v>
      </c>
    </row>
    <row r="22" spans="1:72" hidden="1"/>
    <row r="23" spans="1:72" hidden="1"/>
    <row r="24" spans="1:72" hidden="1"/>
    <row r="25" spans="1:72" hidden="1"/>
    <row r="26" spans="1:72" ht="15" thickBot="1">
      <c r="G26"/>
      <c r="H26"/>
      <c r="I26"/>
    </row>
    <row r="27" spans="1:72">
      <c r="A27" s="111"/>
      <c r="B27" s="20">
        <v>1</v>
      </c>
      <c r="C27" s="21">
        <v>2</v>
      </c>
      <c r="D27" s="21">
        <v>3</v>
      </c>
      <c r="E27" s="21">
        <v>4</v>
      </c>
      <c r="F27" s="21">
        <v>5</v>
      </c>
      <c r="G27" s="21">
        <v>6</v>
      </c>
      <c r="H27" s="21"/>
      <c r="I27" s="21">
        <v>7</v>
      </c>
      <c r="J27" s="21">
        <v>8</v>
      </c>
      <c r="K27" s="21">
        <v>9</v>
      </c>
      <c r="L27" s="25">
        <v>10</v>
      </c>
      <c r="M27" s="26">
        <v>11</v>
      </c>
      <c r="N27" s="27">
        <v>12</v>
      </c>
    </row>
    <row r="28" spans="1:72" ht="15" customHeight="1">
      <c r="A28" s="112"/>
      <c r="B28" s="76" t="s">
        <v>38</v>
      </c>
      <c r="C28" s="785" t="s">
        <v>37</v>
      </c>
      <c r="D28" s="785" t="s">
        <v>220</v>
      </c>
      <c r="E28" s="785" t="s">
        <v>224</v>
      </c>
      <c r="F28" s="785" t="s">
        <v>202</v>
      </c>
      <c r="G28" s="785" t="s">
        <v>36</v>
      </c>
      <c r="H28" s="785" t="s">
        <v>198</v>
      </c>
      <c r="I28" s="24"/>
      <c r="J28" s="785" t="s">
        <v>35</v>
      </c>
      <c r="K28" s="785" t="s">
        <v>34</v>
      </c>
      <c r="L28" s="783" t="s">
        <v>225</v>
      </c>
      <c r="M28" s="784"/>
      <c r="N28" s="788" t="s">
        <v>33</v>
      </c>
    </row>
    <row r="29" spans="1:72">
      <c r="A29" s="112"/>
      <c r="B29" s="76"/>
      <c r="C29" s="785"/>
      <c r="D29" s="785"/>
      <c r="E29" s="785"/>
      <c r="F29" s="785"/>
      <c r="G29" s="785"/>
      <c r="H29" s="785"/>
      <c r="I29" s="288">
        <v>53518.564370810484</v>
      </c>
      <c r="J29" s="785"/>
      <c r="K29" s="785"/>
      <c r="L29" s="783"/>
      <c r="M29" s="784"/>
      <c r="N29" s="788"/>
    </row>
    <row r="30" spans="1:72">
      <c r="A30" s="111"/>
      <c r="B30" s="22"/>
      <c r="C30" s="785"/>
      <c r="D30" s="785"/>
      <c r="E30" s="785"/>
      <c r="F30" s="785"/>
      <c r="G30" s="785"/>
      <c r="H30" s="785"/>
      <c r="I30" s="23"/>
      <c r="J30" s="785"/>
      <c r="K30" s="785"/>
      <c r="L30" s="19"/>
      <c r="M30" s="18"/>
      <c r="N30" s="788"/>
    </row>
    <row r="31" spans="1:72">
      <c r="A31" s="111"/>
      <c r="B31" s="22"/>
      <c r="C31" s="785"/>
      <c r="D31" s="785"/>
      <c r="E31" s="53"/>
      <c r="F31" s="53"/>
      <c r="G31" s="23"/>
      <c r="H31" s="785"/>
      <c r="I31" s="89"/>
      <c r="J31" s="23"/>
      <c r="K31" s="23"/>
      <c r="L31" s="52" t="s">
        <v>7</v>
      </c>
      <c r="M31" s="90" t="s">
        <v>8</v>
      </c>
      <c r="N31" s="788"/>
    </row>
    <row r="32" spans="1:72">
      <c r="A32" s="113"/>
      <c r="B32" s="91"/>
      <c r="C32" s="785"/>
      <c r="D32" s="250" t="s">
        <v>7</v>
      </c>
      <c r="E32" s="53" t="s">
        <v>8</v>
      </c>
      <c r="F32" s="53"/>
      <c r="G32" s="23"/>
      <c r="H32" s="23"/>
      <c r="I32" s="92" t="s">
        <v>11</v>
      </c>
      <c r="J32" s="23"/>
      <c r="K32" s="23"/>
      <c r="L32" s="591">
        <f>Assumptions!$B$6</f>
        <v>2.6740000000000003E-2</v>
      </c>
      <c r="M32" s="93">
        <f>+Assumptions!$B$7</f>
        <v>4.496E-2</v>
      </c>
      <c r="N32" s="788"/>
    </row>
    <row r="33" spans="1:16" ht="15" thickBot="1">
      <c r="A33" s="113"/>
      <c r="B33" s="272"/>
      <c r="C33" s="274"/>
      <c r="D33" s="274"/>
      <c r="E33" s="274"/>
      <c r="F33" s="275"/>
      <c r="G33" s="274"/>
      <c r="H33" s="274"/>
      <c r="I33" s="274">
        <f>L10</f>
        <v>2026</v>
      </c>
      <c r="J33" s="276" t="s">
        <v>221</v>
      </c>
      <c r="K33" s="276" t="s">
        <v>222</v>
      </c>
      <c r="L33" s="277"/>
      <c r="M33" s="278"/>
      <c r="N33" s="279" t="s">
        <v>223</v>
      </c>
    </row>
    <row r="34" spans="1:16" hidden="1">
      <c r="B34" s="266"/>
      <c r="C34" s="280"/>
      <c r="D34" s="280"/>
      <c r="E34" s="280"/>
      <c r="F34" s="280"/>
      <c r="G34" s="281"/>
      <c r="H34" s="281"/>
      <c r="I34" s="280"/>
      <c r="J34" s="280"/>
      <c r="K34" s="280"/>
      <c r="L34" s="280"/>
      <c r="M34" s="280"/>
      <c r="N34" s="282"/>
    </row>
    <row r="35" spans="1:16" hidden="1">
      <c r="B35" s="218">
        <v>2023</v>
      </c>
      <c r="C35" s="96"/>
      <c r="D35" s="96"/>
      <c r="E35" s="96"/>
      <c r="F35" s="96"/>
      <c r="G35" s="96"/>
      <c r="H35" s="96"/>
      <c r="I35" s="96"/>
      <c r="J35" s="45"/>
      <c r="K35" s="45">
        <f t="shared" ref="K35:K72" si="12">+C35+J35-F35</f>
        <v>0</v>
      </c>
      <c r="L35" s="45">
        <f t="shared" ref="L35" si="13">IF(K35&lt;0,0,+K35*$L$32)</f>
        <v>0</v>
      </c>
      <c r="M35" s="46">
        <f t="shared" ref="M35:M36" si="14">IF(K35&lt;0,+K35*$M$32,0)</f>
        <v>0</v>
      </c>
      <c r="N35" s="220">
        <f t="shared" ref="N35:N41" si="15">+L35+K35+M35</f>
        <v>0</v>
      </c>
    </row>
    <row r="36" spans="1:16" hidden="1">
      <c r="B36" s="218">
        <f t="shared" ref="B36:B72" si="16">+B35+1</f>
        <v>2024</v>
      </c>
      <c r="C36" s="96"/>
      <c r="D36" s="96"/>
      <c r="E36" s="96"/>
      <c r="F36" s="96"/>
      <c r="G36" s="96"/>
      <c r="H36" s="96"/>
      <c r="I36" s="96"/>
      <c r="J36" s="97"/>
      <c r="K36" s="45">
        <f t="shared" si="12"/>
        <v>0</v>
      </c>
      <c r="L36" s="45">
        <f>IF(K36&lt;0,0,+K36*$L$32)</f>
        <v>0</v>
      </c>
      <c r="M36" s="46">
        <f t="shared" si="14"/>
        <v>0</v>
      </c>
      <c r="N36" s="220">
        <f>+L36+K36+M36</f>
        <v>0</v>
      </c>
    </row>
    <row r="37" spans="1:16" hidden="1">
      <c r="A37" s="114"/>
      <c r="B37" s="307">
        <f t="shared" si="16"/>
        <v>2025</v>
      </c>
      <c r="C37" s="192"/>
      <c r="D37" s="192"/>
      <c r="E37" s="192"/>
      <c r="F37" s="192"/>
      <c r="G37" s="192"/>
      <c r="H37" s="192"/>
      <c r="I37" s="192"/>
      <c r="J37" s="346">
        <f>(G37*I37*Assumptions!$B$28)+(G36*I36*Assumptions!$B$27)+(G35*I35*Assumptions!$B$26)</f>
        <v>0</v>
      </c>
      <c r="K37" s="346">
        <f t="shared" si="12"/>
        <v>0</v>
      </c>
      <c r="L37" s="346">
        <f>IF(K37&lt;0,0,+K37*$L$32)</f>
        <v>0</v>
      </c>
      <c r="M37" s="347">
        <f>IF(K37&lt;0,+K37*$M$32,0)</f>
        <v>0</v>
      </c>
      <c r="N37" s="348">
        <f t="shared" si="15"/>
        <v>0</v>
      </c>
      <c r="P37" s="14"/>
    </row>
    <row r="38" spans="1:16" ht="16.2">
      <c r="A38" s="114"/>
      <c r="B38" s="291">
        <f t="shared" si="16"/>
        <v>2026</v>
      </c>
      <c r="C38" s="341">
        <f>Assumptions!B32</f>
        <v>-2006461.6439526761</v>
      </c>
      <c r="D38" s="349"/>
      <c r="E38" s="349"/>
      <c r="F38" s="295">
        <f ca="1">OFFSET($L$20,0,B38-Assumptions!$B$3)</f>
        <v>6080420.0474999994</v>
      </c>
      <c r="G38" s="329">
        <f>'Cost Recovery Timing'!S15</f>
        <v>18.475999999999999</v>
      </c>
      <c r="H38" s="292">
        <f>Assumptions!$B$23</f>
        <v>0.02</v>
      </c>
      <c r="I38" s="298">
        <f>+I29</f>
        <v>53518.564370810484</v>
      </c>
      <c r="J38" s="342">
        <f>(G38*I38*Assumptions!$B$28)+'2026 Collections Summary'!B21</f>
        <v>1287388.7045945281</v>
      </c>
      <c r="K38" s="303">
        <f t="shared" ca="1" si="12"/>
        <v>-6799492.9868581472</v>
      </c>
      <c r="L38" s="295">
        <f t="shared" ref="L38:L63" ca="1" si="17">IF(K38&lt;0,0,+K38*$L$32)</f>
        <v>0</v>
      </c>
      <c r="M38" s="299">
        <f t="shared" ref="M38:M63" ca="1" si="18">IF(K38&lt;0,+K38*$M$32,0)</f>
        <v>-305705.20468914229</v>
      </c>
      <c r="N38" s="300">
        <f t="shared" ca="1" si="15"/>
        <v>-7105198.1915472895</v>
      </c>
      <c r="P38" s="47"/>
    </row>
    <row r="39" spans="1:16">
      <c r="A39" s="114"/>
      <c r="B39" s="218">
        <f t="shared" si="16"/>
        <v>2027</v>
      </c>
      <c r="C39" s="252">
        <f t="shared" ref="C39:C72" ca="1" si="19">+N38</f>
        <v>-7105198.1915472895</v>
      </c>
      <c r="D39" s="252"/>
      <c r="E39" s="252"/>
      <c r="F39" s="253">
        <f ca="1">OFFSET($L$20,0,B39-Assumptions!$B$3)</f>
        <v>4418462.3596249996</v>
      </c>
      <c r="G39" s="225">
        <f>'Cost Recovery Timing'!S16</f>
        <v>28.58</v>
      </c>
      <c r="H39" s="224">
        <f>Assumptions!$B$23</f>
        <v>0.02</v>
      </c>
      <c r="I39" s="253">
        <f>+IF(B39&gt;$B$63,0,I38*(1+$H39))</f>
        <v>54588.935658226692</v>
      </c>
      <c r="J39" s="343">
        <f>(G39*I39*Assumptions!$B$28)+(G38*I38*Assumptions!$B$27)+(G37*I37*Assumptions!$B$26)+'2026 Collections Summary'!B34</f>
        <v>1526272.4339281637</v>
      </c>
      <c r="K39" s="252">
        <f t="shared" ca="1" si="12"/>
        <v>-9997388.1172441244</v>
      </c>
      <c r="L39" s="253">
        <f t="shared" ca="1" si="17"/>
        <v>0</v>
      </c>
      <c r="M39" s="254">
        <f t="shared" ca="1" si="18"/>
        <v>-449482.56975129584</v>
      </c>
      <c r="N39" s="285">
        <f t="shared" ca="1" si="15"/>
        <v>-10446870.686995421</v>
      </c>
      <c r="P39" s="47"/>
    </row>
    <row r="40" spans="1:16">
      <c r="A40" s="114"/>
      <c r="B40" s="218">
        <f t="shared" si="16"/>
        <v>2028</v>
      </c>
      <c r="C40" s="252">
        <f t="shared" ca="1" si="19"/>
        <v>-10446870.686995421</v>
      </c>
      <c r="D40" s="252"/>
      <c r="E40" s="252"/>
      <c r="F40" s="253">
        <f ca="1">OFFSET($L$20,0,B40-Assumptions!$B$3)</f>
        <v>522655.40371093736</v>
      </c>
      <c r="G40" s="225">
        <f>'Cost Recovery Timing'!S17</f>
        <v>28.58</v>
      </c>
      <c r="H40" s="224">
        <f>Assumptions!$B$23</f>
        <v>0.02</v>
      </c>
      <c r="I40" s="253">
        <f t="shared" ref="I40:I72" si="20">+IF(B40&gt;$B$63,0,I39*(1+$H40))</f>
        <v>55680.71437139123</v>
      </c>
      <c r="J40" s="253">
        <f>(G40*I40*Assumptions!$B$28)+(G39*I39*Assumptions!$B$27)+(G38*I38*Assumptions!$B$26)</f>
        <v>1340975.5774799818</v>
      </c>
      <c r="K40" s="252">
        <f t="shared" ca="1" si="12"/>
        <v>-9628550.5132263768</v>
      </c>
      <c r="L40" s="253">
        <f t="shared" ca="1" si="17"/>
        <v>0</v>
      </c>
      <c r="M40" s="254">
        <f t="shared" ca="1" si="18"/>
        <v>-432899.6310746579</v>
      </c>
      <c r="N40" s="285">
        <f t="shared" ca="1" si="15"/>
        <v>-10061450.144301035</v>
      </c>
      <c r="P40" s="47"/>
    </row>
    <row r="41" spans="1:16">
      <c r="A41" s="114"/>
      <c r="B41" s="218">
        <f t="shared" si="16"/>
        <v>2029</v>
      </c>
      <c r="C41" s="252">
        <f t="shared" ca="1" si="19"/>
        <v>-10061450.144301035</v>
      </c>
      <c r="D41" s="252"/>
      <c r="E41" s="252"/>
      <c r="F41" s="253">
        <f ca="1">OFFSET($L$20,0,B41-Assumptions!$B$3)</f>
        <v>0</v>
      </c>
      <c r="G41" s="225">
        <f>'Cost Recovery Timing'!S18</f>
        <v>28.58</v>
      </c>
      <c r="H41" s="224">
        <f>Assumptions!$B$23</f>
        <v>0.02</v>
      </c>
      <c r="I41" s="253">
        <f t="shared" si="20"/>
        <v>56794.328658819053</v>
      </c>
      <c r="J41" s="253">
        <f>(G41*I41*Assumptions!$B$28)+(G40*I40*Assumptions!$B$27)+(G39*I39*Assumptions!$B$26)</f>
        <v>1588421.7313858704</v>
      </c>
      <c r="K41" s="252">
        <f t="shared" ca="1" si="12"/>
        <v>-8473028.4129151646</v>
      </c>
      <c r="L41" s="253">
        <f t="shared" ca="1" si="17"/>
        <v>0</v>
      </c>
      <c r="M41" s="254">
        <f t="shared" ca="1" si="18"/>
        <v>-380947.3574446658</v>
      </c>
      <c r="N41" s="285">
        <f t="shared" ca="1" si="15"/>
        <v>-8853975.7703598309</v>
      </c>
      <c r="P41" s="47"/>
    </row>
    <row r="42" spans="1:16">
      <c r="A42" s="114"/>
      <c r="B42" s="218">
        <f t="shared" si="16"/>
        <v>2030</v>
      </c>
      <c r="C42" s="252">
        <f t="shared" ca="1" si="19"/>
        <v>-8853975.7703598309</v>
      </c>
      <c r="D42" s="252"/>
      <c r="E42" s="252"/>
      <c r="F42" s="253">
        <f ca="1">OFFSET($L$20,0,B42-Assumptions!$B$3)</f>
        <v>0</v>
      </c>
      <c r="G42" s="225">
        <f>'Cost Recovery Timing'!S19</f>
        <v>28.58</v>
      </c>
      <c r="H42" s="224">
        <f>Assumptions!$B$23</f>
        <v>0.02</v>
      </c>
      <c r="I42" s="253">
        <f t="shared" si="20"/>
        <v>57930.215231995433</v>
      </c>
      <c r="J42" s="253">
        <f>(G42*I42*Assumptions!$B$28)+(G41*I41*Assumptions!$B$27)+(G40*I40*Assumptions!$B$26)</f>
        <v>1620190.1660135877</v>
      </c>
      <c r="K42" s="252">
        <f t="shared" ca="1" si="12"/>
        <v>-7233785.6043462437</v>
      </c>
      <c r="L42" s="253">
        <f t="shared" ca="1" si="17"/>
        <v>0</v>
      </c>
      <c r="M42" s="254">
        <f t="shared" ca="1" si="18"/>
        <v>-325231.0007714071</v>
      </c>
      <c r="N42" s="285">
        <f ca="1">+L42+K42+M42</f>
        <v>-7559016.6051176507</v>
      </c>
      <c r="P42" s="47"/>
    </row>
    <row r="43" spans="1:16">
      <c r="A43" s="114"/>
      <c r="B43" s="218">
        <f t="shared" si="16"/>
        <v>2031</v>
      </c>
      <c r="C43" s="252">
        <f t="shared" ca="1" si="19"/>
        <v>-7559016.6051176507</v>
      </c>
      <c r="D43" s="252"/>
      <c r="E43" s="252"/>
      <c r="F43" s="253">
        <f ca="1">OFFSET($L$20,0,B43-Assumptions!$B$3)</f>
        <v>9447674.3701549508</v>
      </c>
      <c r="G43" s="225">
        <f>'Cost Recovery Timing'!S20</f>
        <v>28.58</v>
      </c>
      <c r="H43" s="224">
        <f>Assumptions!$B$23</f>
        <v>0.02</v>
      </c>
      <c r="I43" s="253">
        <f t="shared" si="20"/>
        <v>59088.819536635339</v>
      </c>
      <c r="J43" s="253">
        <f>(G43*I43*Assumptions!$B$28)+(G42*I42*Assumptions!$B$27)+(G41*I41*Assumptions!$B$26)</f>
        <v>1652593.9693338596</v>
      </c>
      <c r="K43" s="252">
        <f t="shared" ca="1" si="12"/>
        <v>-15354097.005938742</v>
      </c>
      <c r="L43" s="253">
        <f t="shared" ca="1" si="17"/>
        <v>0</v>
      </c>
      <c r="M43" s="254">
        <f t="shared" ca="1" si="18"/>
        <v>-690320.20138700586</v>
      </c>
      <c r="N43" s="285">
        <f t="shared" ref="N43:N50" ca="1" si="21">+L43+K43+M43</f>
        <v>-16044417.207325749</v>
      </c>
      <c r="P43" s="47"/>
    </row>
    <row r="44" spans="1:16">
      <c r="A44" s="114"/>
      <c r="B44" s="218">
        <f t="shared" si="16"/>
        <v>2032</v>
      </c>
      <c r="C44" s="252">
        <f t="shared" ca="1" si="19"/>
        <v>-16044417.207325749</v>
      </c>
      <c r="D44" s="252"/>
      <c r="E44" s="252"/>
      <c r="F44" s="253">
        <f ca="1">OFFSET($L$20,0,B44-Assumptions!$B$3)</f>
        <v>10580610.761976123</v>
      </c>
      <c r="G44" s="225">
        <f>'Cost Recovery Timing'!S21</f>
        <v>28.58</v>
      </c>
      <c r="H44" s="224">
        <f>Assumptions!$B$23</f>
        <v>0.02</v>
      </c>
      <c r="I44" s="253">
        <f t="shared" si="20"/>
        <v>60270.595927368049</v>
      </c>
      <c r="J44" s="253">
        <f>(G44*I44*Assumptions!$B$28)+(G43*I43*Assumptions!$B$27)+(G42*I42*Assumptions!$B$26)</f>
        <v>1685645.8487205368</v>
      </c>
      <c r="K44" s="252">
        <f t="shared" ca="1" si="12"/>
        <v>-24939382.120581336</v>
      </c>
      <c r="L44" s="253">
        <f t="shared" ca="1" si="17"/>
        <v>0</v>
      </c>
      <c r="M44" s="254">
        <f t="shared" ca="1" si="18"/>
        <v>-1121274.6201413369</v>
      </c>
      <c r="N44" s="285">
        <f t="shared" ca="1" si="21"/>
        <v>-26060656.740722675</v>
      </c>
      <c r="P44" s="47"/>
    </row>
    <row r="45" spans="1:16">
      <c r="A45" s="114"/>
      <c r="B45" s="218">
        <f t="shared" si="16"/>
        <v>2033</v>
      </c>
      <c r="C45" s="252">
        <f t="shared" ca="1" si="19"/>
        <v>-26060656.740722675</v>
      </c>
      <c r="D45" s="252"/>
      <c r="E45" s="252"/>
      <c r="F45" s="253">
        <f ca="1">OFFSET($L$20,0,B45-Assumptions!$B$3)</f>
        <v>919163.14588148159</v>
      </c>
      <c r="G45" s="225">
        <f>'Cost Recovery Timing'!S22</f>
        <v>28.58</v>
      </c>
      <c r="H45" s="224">
        <f>Assumptions!$B$23</f>
        <v>0.02</v>
      </c>
      <c r="I45" s="253">
        <f t="shared" si="20"/>
        <v>61476.00784591541</v>
      </c>
      <c r="J45" s="253">
        <f>(G45*I45*Assumptions!$B$28)+(G44*I44*Assumptions!$B$27)+(G43*I43*Assumptions!$B$26)</f>
        <v>1719358.7656949474</v>
      </c>
      <c r="K45" s="252">
        <f t="shared" ca="1" si="12"/>
        <v>-25260461.12090921</v>
      </c>
      <c r="L45" s="253">
        <f t="shared" ca="1" si="17"/>
        <v>0</v>
      </c>
      <c r="M45" s="254">
        <f t="shared" ca="1" si="18"/>
        <v>-1135710.3319960781</v>
      </c>
      <c r="N45" s="285">
        <f t="shared" ca="1" si="21"/>
        <v>-26396171.45290529</v>
      </c>
      <c r="P45" s="47"/>
    </row>
    <row r="46" spans="1:16">
      <c r="A46" s="114"/>
      <c r="B46" s="218">
        <f t="shared" si="16"/>
        <v>2034</v>
      </c>
      <c r="C46" s="252">
        <f t="shared" ca="1" si="19"/>
        <v>-26396171.45290529</v>
      </c>
      <c r="D46" s="252"/>
      <c r="E46" s="252"/>
      <c r="F46" s="253">
        <f ca="1">OFFSET($L$20,0,B46-Assumptions!$B$3)</f>
        <v>0</v>
      </c>
      <c r="G46" s="225">
        <f>'Cost Recovery Timing'!S23</f>
        <v>28.58</v>
      </c>
      <c r="H46" s="224">
        <f>Assumptions!$B$23</f>
        <v>0.02</v>
      </c>
      <c r="I46" s="253">
        <f t="shared" si="20"/>
        <v>62705.528002833722</v>
      </c>
      <c r="J46" s="253">
        <f>(G46*I46*Assumptions!$B$28)+(G45*I45*Assumptions!$B$27)+(G44*I44*Assumptions!$B$26)</f>
        <v>1753745.9410088465</v>
      </c>
      <c r="K46" s="252">
        <f t="shared" ca="1" si="12"/>
        <v>-24642425.511896443</v>
      </c>
      <c r="L46" s="253">
        <f t="shared" ca="1" si="17"/>
        <v>0</v>
      </c>
      <c r="M46" s="254">
        <f t="shared" ca="1" si="18"/>
        <v>-1107923.451014864</v>
      </c>
      <c r="N46" s="285">
        <f t="shared" ca="1" si="21"/>
        <v>-25750348.962911308</v>
      </c>
      <c r="P46" s="47"/>
    </row>
    <row r="47" spans="1:16">
      <c r="A47" s="114"/>
      <c r="B47" s="218">
        <f t="shared" si="16"/>
        <v>2035</v>
      </c>
      <c r="C47" s="252">
        <f t="shared" ca="1" si="19"/>
        <v>-25750348.962911308</v>
      </c>
      <c r="D47" s="252"/>
      <c r="E47" s="252"/>
      <c r="F47" s="253">
        <f ca="1">OFFSET($L$20,0,B47-Assumptions!$B$3)</f>
        <v>0</v>
      </c>
      <c r="G47" s="225">
        <f>'Cost Recovery Timing'!S24</f>
        <v>28.58</v>
      </c>
      <c r="H47" s="224">
        <f>Assumptions!$B$23</f>
        <v>0.02</v>
      </c>
      <c r="I47" s="253">
        <f t="shared" si="20"/>
        <v>63959.638562890395</v>
      </c>
      <c r="J47" s="253">
        <f>(G47*I47*Assumptions!$B$28)+(G46*I46*Assumptions!$B$27)+(G45*I45*Assumptions!$B$26)</f>
        <v>1788820.8598290235</v>
      </c>
      <c r="K47" s="252">
        <f t="shared" ca="1" si="12"/>
        <v>-23961528.103082284</v>
      </c>
      <c r="L47" s="253">
        <f t="shared" ca="1" si="17"/>
        <v>0</v>
      </c>
      <c r="M47" s="254">
        <f t="shared" ca="1" si="18"/>
        <v>-1077310.3035145795</v>
      </c>
      <c r="N47" s="285">
        <f t="shared" ca="1" si="21"/>
        <v>-25038838.406596866</v>
      </c>
      <c r="P47" s="47"/>
    </row>
    <row r="48" spans="1:16">
      <c r="A48" s="114"/>
      <c r="B48" s="218">
        <f t="shared" si="16"/>
        <v>2036</v>
      </c>
      <c r="C48" s="252">
        <f t="shared" ca="1" si="19"/>
        <v>-25038838.406596866</v>
      </c>
      <c r="D48" s="252"/>
      <c r="E48" s="252"/>
      <c r="F48" s="253">
        <f ca="1">OFFSET($L$20,0,B48-Assumptions!$B$3)</f>
        <v>0</v>
      </c>
      <c r="G48" s="225">
        <f>'Cost Recovery Timing'!S25</f>
        <v>28.58</v>
      </c>
      <c r="H48" s="224">
        <f>Assumptions!$B$23</f>
        <v>0.02</v>
      </c>
      <c r="I48" s="253">
        <f t="shared" si="20"/>
        <v>65238.831334148206</v>
      </c>
      <c r="J48" s="253">
        <f>(G48*I48*Assumptions!$B$28)+(G47*I47*Assumptions!$B$27)+(G46*I46*Assumptions!$B$26)</f>
        <v>1824597.2770256042</v>
      </c>
      <c r="K48" s="252">
        <f t="shared" ca="1" si="12"/>
        <v>-23214241.129571263</v>
      </c>
      <c r="L48" s="253">
        <f t="shared" ca="1" si="17"/>
        <v>0</v>
      </c>
      <c r="M48" s="254">
        <f t="shared" ca="1" si="18"/>
        <v>-1043712.281185524</v>
      </c>
      <c r="N48" s="285">
        <f t="shared" ca="1" si="21"/>
        <v>-24257953.410756785</v>
      </c>
      <c r="P48" s="47"/>
    </row>
    <row r="49" spans="1:17">
      <c r="A49" s="114"/>
      <c r="B49" s="218">
        <f t="shared" si="16"/>
        <v>2037</v>
      </c>
      <c r="C49" s="252">
        <f t="shared" ca="1" si="19"/>
        <v>-24257953.410756785</v>
      </c>
      <c r="D49" s="252"/>
      <c r="E49" s="252"/>
      <c r="F49" s="253">
        <f ca="1">OFFSET($L$20,0,B49-Assumptions!$B$3)</f>
        <v>0</v>
      </c>
      <c r="G49" s="225">
        <f>'Cost Recovery Timing'!S26</f>
        <v>28.58</v>
      </c>
      <c r="H49" s="224">
        <f>Assumptions!$B$23</f>
        <v>0.02</v>
      </c>
      <c r="I49" s="253">
        <f t="shared" si="20"/>
        <v>66543.60796083117</v>
      </c>
      <c r="J49" s="253">
        <f>(G49*I49*Assumptions!$B$28)+(G48*I48*Assumptions!$B$27)+(G47*I47*Assumptions!$B$26)</f>
        <v>1861089.2225661161</v>
      </c>
      <c r="K49" s="252">
        <f t="shared" ca="1" si="12"/>
        <v>-22396864.188190669</v>
      </c>
      <c r="L49" s="253">
        <f t="shared" ca="1" si="17"/>
        <v>0</v>
      </c>
      <c r="M49" s="254">
        <f t="shared" ca="1" si="18"/>
        <v>-1006963.0139010524</v>
      </c>
      <c r="N49" s="285">
        <f t="shared" ca="1" si="21"/>
        <v>-23403827.20209172</v>
      </c>
      <c r="P49" s="47"/>
    </row>
    <row r="50" spans="1:17">
      <c r="A50" s="114"/>
      <c r="B50" s="218">
        <f t="shared" si="16"/>
        <v>2038</v>
      </c>
      <c r="C50" s="252">
        <f t="shared" ca="1" si="19"/>
        <v>-23403827.20209172</v>
      </c>
      <c r="D50" s="252"/>
      <c r="E50" s="252"/>
      <c r="F50" s="253">
        <f ca="1">OFFSET($L$20,0,B50-Assumptions!$B$3)</f>
        <v>0</v>
      </c>
      <c r="G50" s="225">
        <f>'Cost Recovery Timing'!S27</f>
        <v>28.58</v>
      </c>
      <c r="H50" s="224">
        <f>Assumptions!$B$23</f>
        <v>0.02</v>
      </c>
      <c r="I50" s="253">
        <f t="shared" si="20"/>
        <v>67874.480120047796</v>
      </c>
      <c r="J50" s="253">
        <f>(G50*I50*Assumptions!$B$28)+(G49*I49*Assumptions!$B$27)+(G48*I48*Assumptions!$B$26)</f>
        <v>1898311.0070174385</v>
      </c>
      <c r="K50" s="252">
        <f t="shared" ca="1" si="12"/>
        <v>-21505516.195074283</v>
      </c>
      <c r="L50" s="253">
        <f t="shared" ca="1" si="17"/>
        <v>0</v>
      </c>
      <c r="M50" s="254">
        <f t="shared" ca="1" si="18"/>
        <v>-966888.00813053979</v>
      </c>
      <c r="N50" s="285">
        <f t="shared" ca="1" si="21"/>
        <v>-22472404.203204822</v>
      </c>
      <c r="P50" s="47"/>
    </row>
    <row r="51" spans="1:17">
      <c r="A51" s="114"/>
      <c r="B51" s="218">
        <f>+B50+1</f>
        <v>2039</v>
      </c>
      <c r="C51" s="252">
        <f t="shared" ca="1" si="19"/>
        <v>-22472404.203204822</v>
      </c>
      <c r="D51" s="252"/>
      <c r="E51" s="252"/>
      <c r="F51" s="253">
        <f ca="1">OFFSET($L$20,0,B51-Assumptions!$B$3)</f>
        <v>0</v>
      </c>
      <c r="G51" s="225">
        <f>'Cost Recovery Timing'!S28</f>
        <v>28.58</v>
      </c>
      <c r="H51" s="224">
        <f>Assumptions!$B$23</f>
        <v>0.02</v>
      </c>
      <c r="I51" s="253">
        <f t="shared" si="20"/>
        <v>69231.969722448746</v>
      </c>
      <c r="J51" s="253">
        <f>(G51*I51*Assumptions!$B$28)+(G50*I50*Assumptions!$B$27)+(G49*I49*Assumptions!$B$26)</f>
        <v>1936277.2271577872</v>
      </c>
      <c r="K51" s="252">
        <f t="shared" ca="1" si="12"/>
        <v>-20536126.976047035</v>
      </c>
      <c r="L51" s="253">
        <f t="shared" ca="1" si="17"/>
        <v>0</v>
      </c>
      <c r="M51" s="254">
        <f t="shared" ca="1" si="18"/>
        <v>-923304.26884307468</v>
      </c>
      <c r="N51" s="285">
        <f ca="1">+L51+K51+M51</f>
        <v>-21459431.244890109</v>
      </c>
      <c r="P51" s="47"/>
    </row>
    <row r="52" spans="1:17">
      <c r="A52" s="114"/>
      <c r="B52" s="218">
        <f t="shared" si="16"/>
        <v>2040</v>
      </c>
      <c r="C52" s="252">
        <f t="shared" ca="1" si="19"/>
        <v>-21459431.244890109</v>
      </c>
      <c r="D52" s="252"/>
      <c r="E52" s="252"/>
      <c r="F52" s="253">
        <f ca="1">OFFSET($L$20,0,B52-Assumptions!$B$3)</f>
        <v>0</v>
      </c>
      <c r="G52" s="225">
        <f>'Cost Recovery Timing'!S29</f>
        <v>28.58</v>
      </c>
      <c r="H52" s="224">
        <f>Assumptions!$B$23</f>
        <v>0.02</v>
      </c>
      <c r="I52" s="253">
        <f t="shared" si="20"/>
        <v>70616.609116897729</v>
      </c>
      <c r="J52" s="253">
        <f>(G52*I52*Assumptions!$B$28)+(G51*I51*Assumptions!$B$27)+(G50*I50*Assumptions!$B$26)</f>
        <v>1975002.7717009429</v>
      </c>
      <c r="K52" s="252">
        <f t="shared" ca="1" si="12"/>
        <v>-19484428.473189168</v>
      </c>
      <c r="L52" s="253">
        <f t="shared" ca="1" si="17"/>
        <v>0</v>
      </c>
      <c r="M52" s="254">
        <f t="shared" ca="1" si="18"/>
        <v>-876019.90415458498</v>
      </c>
      <c r="N52" s="285">
        <f t="shared" ref="N52" ca="1" si="22">+L52+K52+M52</f>
        <v>-20360448.377343751</v>
      </c>
      <c r="P52" s="47"/>
    </row>
    <row r="53" spans="1:17">
      <c r="A53" s="114"/>
      <c r="B53" s="218">
        <f>+B52+1</f>
        <v>2041</v>
      </c>
      <c r="C53" s="252">
        <f t="shared" ca="1" si="19"/>
        <v>-20360448.377343751</v>
      </c>
      <c r="D53" s="252"/>
      <c r="E53" s="252"/>
      <c r="F53" s="253">
        <f ca="1">OFFSET($L$20,0,B53-Assumptions!$B$3)</f>
        <v>0</v>
      </c>
      <c r="G53" s="225">
        <f>'Cost Recovery Timing'!S30</f>
        <v>28.58</v>
      </c>
      <c r="H53" s="224">
        <f>Assumptions!$B$23</f>
        <v>0.02</v>
      </c>
      <c r="I53" s="253">
        <f t="shared" si="20"/>
        <v>72028.941299235681</v>
      </c>
      <c r="J53" s="253">
        <f>(G53*I53*Assumptions!$B$28)+(G52*I52*Assumptions!$B$27)+(G51*I51*Assumptions!$B$26)</f>
        <v>2014502.8271349617</v>
      </c>
      <c r="K53" s="252">
        <f t="shared" ca="1" si="12"/>
        <v>-18345945.550208788</v>
      </c>
      <c r="L53" s="253">
        <f t="shared" ca="1" si="17"/>
        <v>0</v>
      </c>
      <c r="M53" s="254">
        <f t="shared" ca="1" si="18"/>
        <v>-824833.71193738712</v>
      </c>
      <c r="N53" s="285">
        <f ca="1">+L53+K53+M53</f>
        <v>-19170779.262146175</v>
      </c>
      <c r="P53" s="47"/>
    </row>
    <row r="54" spans="1:17">
      <c r="A54" s="114"/>
      <c r="B54" s="218">
        <f>+B53+1</f>
        <v>2042</v>
      </c>
      <c r="C54" s="252">
        <f t="shared" ca="1" si="19"/>
        <v>-19170779.262146175</v>
      </c>
      <c r="D54" s="252"/>
      <c r="E54" s="252"/>
      <c r="F54" s="253">
        <f ca="1">OFFSET($L$20,0,B54-Assumptions!$B$3)</f>
        <v>0</v>
      </c>
      <c r="G54" s="225">
        <f>'Cost Recovery Timing'!S31</f>
        <v>28.58</v>
      </c>
      <c r="H54" s="224">
        <f>Assumptions!$B$23</f>
        <v>0.02</v>
      </c>
      <c r="I54" s="253">
        <f t="shared" si="20"/>
        <v>73469.520125220399</v>
      </c>
      <c r="J54" s="253">
        <f>(G54*I54*Assumptions!$B$28)+(G53*I53*Assumptions!$B$27)+(G52*I52*Assumptions!$B$26)</f>
        <v>2054792.8836776614</v>
      </c>
      <c r="K54" s="252">
        <f t="shared" ca="1" si="12"/>
        <v>-17115986.378468513</v>
      </c>
      <c r="L54" s="253">
        <f t="shared" ca="1" si="17"/>
        <v>0</v>
      </c>
      <c r="M54" s="254">
        <f t="shared" ca="1" si="18"/>
        <v>-769534.74757594441</v>
      </c>
      <c r="N54" s="285">
        <f ca="1">+L54+K54+M54</f>
        <v>-17885521.12604446</v>
      </c>
      <c r="P54" s="47"/>
    </row>
    <row r="55" spans="1:17">
      <c r="A55" s="114"/>
      <c r="B55" s="218">
        <f t="shared" si="16"/>
        <v>2043</v>
      </c>
      <c r="C55" s="252">
        <f t="shared" ca="1" si="19"/>
        <v>-17885521.12604446</v>
      </c>
      <c r="D55" s="252"/>
      <c r="E55" s="252"/>
      <c r="F55" s="253">
        <f ca="1">OFFSET($L$20,0,B55-Assumptions!$B$3)</f>
        <v>0</v>
      </c>
      <c r="G55" s="225">
        <f>'Cost Recovery Timing'!S32</f>
        <v>28.58</v>
      </c>
      <c r="H55" s="224">
        <f>Assumptions!$B$23</f>
        <v>0.02</v>
      </c>
      <c r="I55" s="253">
        <f t="shared" si="20"/>
        <v>74938.910527724802</v>
      </c>
      <c r="J55" s="253">
        <f>(G55*I55*Assumptions!$B$28)+(G54*I54*Assumptions!$B$27)+(G53*I53*Assumptions!$B$26)</f>
        <v>2095888.7413512142</v>
      </c>
      <c r="K55" s="252">
        <f t="shared" ca="1" si="12"/>
        <v>-15789632.384693246</v>
      </c>
      <c r="L55" s="253">
        <f t="shared" ca="1" si="17"/>
        <v>0</v>
      </c>
      <c r="M55" s="254">
        <f t="shared" ca="1" si="18"/>
        <v>-709901.87201580836</v>
      </c>
      <c r="N55" s="285">
        <f t="shared" ref="N55:N72" ca="1" si="23">+L55+K55+M55</f>
        <v>-16499534.256709054</v>
      </c>
      <c r="P55" s="47"/>
    </row>
    <row r="56" spans="1:17">
      <c r="A56" s="114"/>
      <c r="B56" s="218">
        <f>+B55+1</f>
        <v>2044</v>
      </c>
      <c r="C56" s="252">
        <f t="shared" ca="1" si="19"/>
        <v>-16499534.256709054</v>
      </c>
      <c r="D56" s="252"/>
      <c r="E56" s="252"/>
      <c r="F56" s="253">
        <f ca="1">OFFSET($L$20,0,B56-Assumptions!$B$3)</f>
        <v>0</v>
      </c>
      <c r="G56" s="225">
        <f>'Cost Recovery Timing'!S33</f>
        <v>28.58</v>
      </c>
      <c r="H56" s="224">
        <f>Assumptions!$B$23</f>
        <v>0.02</v>
      </c>
      <c r="I56" s="253">
        <f t="shared" si="20"/>
        <v>76437.688738279292</v>
      </c>
      <c r="J56" s="253">
        <f>(G56*I56*Assumptions!$B$28)+(G55*I55*Assumptions!$B$27)+(G54*I54*Assumptions!$B$26)</f>
        <v>2137806.5161782382</v>
      </c>
      <c r="K56" s="252">
        <f t="shared" ca="1" si="12"/>
        <v>-14361727.740530815</v>
      </c>
      <c r="L56" s="253">
        <f t="shared" ca="1" si="17"/>
        <v>0</v>
      </c>
      <c r="M56" s="254">
        <f t="shared" ca="1" si="18"/>
        <v>-645703.27921426541</v>
      </c>
      <c r="N56" s="285">
        <f t="shared" ca="1" si="23"/>
        <v>-15007431.01974508</v>
      </c>
      <c r="P56" s="47"/>
    </row>
    <row r="57" spans="1:17">
      <c r="A57" s="114"/>
      <c r="B57" s="218">
        <f t="shared" si="16"/>
        <v>2045</v>
      </c>
      <c r="C57" s="252">
        <f t="shared" ca="1" si="19"/>
        <v>-15007431.01974508</v>
      </c>
      <c r="D57" s="252"/>
      <c r="E57" s="252"/>
      <c r="F57" s="253">
        <f ca="1">OFFSET($L$20,0,B57-Assumptions!$B$3)</f>
        <v>0</v>
      </c>
      <c r="G57" s="225">
        <f>'Cost Recovery Timing'!S34</f>
        <v>28.58</v>
      </c>
      <c r="H57" s="224">
        <f>Assumptions!$B$23</f>
        <v>0.02</v>
      </c>
      <c r="I57" s="253">
        <f t="shared" si="20"/>
        <v>77966.44251304488</v>
      </c>
      <c r="J57" s="253">
        <f>(G57*I57*Assumptions!$B$28)+(G56*I56*Assumptions!$B$27)+(G55*I55*Assumptions!$B$26)</f>
        <v>2180562.6465018028</v>
      </c>
      <c r="K57" s="252">
        <f t="shared" ca="1" si="12"/>
        <v>-12826868.373243276</v>
      </c>
      <c r="L57" s="253">
        <f t="shared" ca="1" si="17"/>
        <v>0</v>
      </c>
      <c r="M57" s="254">
        <f t="shared" ca="1" si="18"/>
        <v>-576696.00206101767</v>
      </c>
      <c r="N57" s="285">
        <f t="shared" ca="1" si="23"/>
        <v>-13403564.375304293</v>
      </c>
      <c r="P57" s="47"/>
    </row>
    <row r="58" spans="1:17">
      <c r="A58" s="114"/>
      <c r="B58" s="218">
        <f t="shared" si="16"/>
        <v>2046</v>
      </c>
      <c r="C58" s="252">
        <f t="shared" ca="1" si="19"/>
        <v>-13403564.375304293</v>
      </c>
      <c r="D58" s="252"/>
      <c r="E58" s="252"/>
      <c r="F58" s="253">
        <f ca="1">OFFSET($L$20,0,B58-Assumptions!$B$3)</f>
        <v>0</v>
      </c>
      <c r="G58" s="225">
        <f>'Cost Recovery Timing'!S35</f>
        <v>28.58</v>
      </c>
      <c r="H58" s="224">
        <f>Assumptions!$B$23</f>
        <v>0.02</v>
      </c>
      <c r="I58" s="253">
        <f t="shared" si="20"/>
        <v>79525.771363305772</v>
      </c>
      <c r="J58" s="253">
        <f>(G58*I58*Assumptions!$B$28)+(G57*I57*Assumptions!$B$27)+(G56*I56*Assumptions!$B$26)</f>
        <v>2224173.8994318391</v>
      </c>
      <c r="K58" s="252">
        <f t="shared" ca="1" si="12"/>
        <v>-11179390.475872453</v>
      </c>
      <c r="L58" s="253">
        <f t="shared" ca="1" si="17"/>
        <v>0</v>
      </c>
      <c r="M58" s="254">
        <f t="shared" ca="1" si="18"/>
        <v>-502625.39579522552</v>
      </c>
      <c r="N58" s="285">
        <f t="shared" ca="1" si="23"/>
        <v>-11682015.871667679</v>
      </c>
      <c r="P58" s="47"/>
    </row>
    <row r="59" spans="1:17">
      <c r="A59" s="114"/>
      <c r="B59" s="218">
        <f t="shared" si="16"/>
        <v>2047</v>
      </c>
      <c r="C59" s="252">
        <f t="shared" ca="1" si="19"/>
        <v>-11682015.871667679</v>
      </c>
      <c r="D59" s="252"/>
      <c r="E59" s="252"/>
      <c r="F59" s="253">
        <f ca="1">OFFSET($L$20,0,B59-Assumptions!$B$3)</f>
        <v>0</v>
      </c>
      <c r="G59" s="225">
        <f>'Cost Recovery Timing'!S36</f>
        <v>28.58</v>
      </c>
      <c r="H59" s="224">
        <f>Assumptions!$B$23</f>
        <v>0.02</v>
      </c>
      <c r="I59" s="253">
        <f t="shared" si="20"/>
        <v>81116.286790571889</v>
      </c>
      <c r="J59" s="253">
        <f>(G59*I59*Assumptions!$B$28)+(G58*I58*Assumptions!$B$27)+(G57*I57*Assumptions!$B$26)</f>
        <v>2268657.3774204757</v>
      </c>
      <c r="K59" s="252">
        <f t="shared" ca="1" si="12"/>
        <v>-9413358.4942472037</v>
      </c>
      <c r="L59" s="253">
        <f t="shared" ca="1" si="17"/>
        <v>0</v>
      </c>
      <c r="M59" s="254">
        <f t="shared" ca="1" si="18"/>
        <v>-423224.59790135425</v>
      </c>
      <c r="N59" s="285">
        <f t="shared" ca="1" si="23"/>
        <v>-9836583.0921485573</v>
      </c>
      <c r="P59" s="47"/>
    </row>
    <row r="60" spans="1:17">
      <c r="A60" s="114"/>
      <c r="B60" s="218">
        <f t="shared" si="16"/>
        <v>2048</v>
      </c>
      <c r="C60" s="252">
        <f t="shared" ca="1" si="19"/>
        <v>-9836583.0921485573</v>
      </c>
      <c r="D60" s="252"/>
      <c r="E60" s="252"/>
      <c r="F60" s="253">
        <f ca="1">OFFSET($L$20,0,B60-Assumptions!$B$3)</f>
        <v>0</v>
      </c>
      <c r="G60" s="225">
        <f>'Cost Recovery Timing'!S37</f>
        <v>28.58</v>
      </c>
      <c r="H60" s="224">
        <f>Assumptions!$B$23</f>
        <v>0.02</v>
      </c>
      <c r="I60" s="253">
        <f t="shared" si="20"/>
        <v>82738.612526383324</v>
      </c>
      <c r="J60" s="253">
        <f>(G60*I60*Assumptions!$B$28)+(G59*I59*Assumptions!$B$27)+(G58*I58*Assumptions!$B$26)</f>
        <v>2314030.5249688854</v>
      </c>
      <c r="K60" s="252">
        <f t="shared" ca="1" si="12"/>
        <v>-7522552.5671796724</v>
      </c>
      <c r="L60" s="253">
        <f t="shared" ca="1" si="17"/>
        <v>0</v>
      </c>
      <c r="M60" s="254">
        <f t="shared" ca="1" si="18"/>
        <v>-338213.96342039807</v>
      </c>
      <c r="N60" s="285">
        <f t="shared" ca="1" si="23"/>
        <v>-7860766.530600071</v>
      </c>
      <c r="P60" s="47"/>
    </row>
    <row r="61" spans="1:17">
      <c r="A61" s="114"/>
      <c r="B61" s="218">
        <f t="shared" si="16"/>
        <v>2049</v>
      </c>
      <c r="C61" s="252">
        <f t="shared" ca="1" si="19"/>
        <v>-7860766.530600071</v>
      </c>
      <c r="D61" s="252"/>
      <c r="E61" s="252"/>
      <c r="F61" s="253">
        <f ca="1">OFFSET($L$20,0,B61-Assumptions!$B$3)</f>
        <v>0</v>
      </c>
      <c r="G61" s="225">
        <f>'Cost Recovery Timing'!S38</f>
        <v>28.58</v>
      </c>
      <c r="H61" s="224">
        <f>Assumptions!$B$23</f>
        <v>0.02</v>
      </c>
      <c r="I61" s="253">
        <f t="shared" si="20"/>
        <v>84393.384776910985</v>
      </c>
      <c r="J61" s="253">
        <f>(G61*I61*Assumptions!$B$28)+(G60*I60*Assumptions!$B$27)+(G59*I59*Assumptions!$B$26)</f>
        <v>2360311.1354682632</v>
      </c>
      <c r="K61" s="252">
        <f t="shared" ca="1" si="12"/>
        <v>-5500455.3951318078</v>
      </c>
      <c r="L61" s="253">
        <f t="shared" ca="1" si="17"/>
        <v>0</v>
      </c>
      <c r="M61" s="254">
        <f t="shared" ca="1" si="18"/>
        <v>-247300.47456512609</v>
      </c>
      <c r="N61" s="285">
        <f t="shared" ca="1" si="23"/>
        <v>-5747755.8696969338</v>
      </c>
      <c r="P61" s="47"/>
    </row>
    <row r="62" spans="1:17">
      <c r="B62" s="218">
        <f t="shared" si="16"/>
        <v>2050</v>
      </c>
      <c r="C62" s="317">
        <f t="shared" ca="1" si="19"/>
        <v>-5747755.8696969338</v>
      </c>
      <c r="D62" s="317"/>
      <c r="E62" s="317"/>
      <c r="F62" s="255">
        <f ca="1">OFFSET($L$20,0,B62-Assumptions!$B$3)</f>
        <v>0</v>
      </c>
      <c r="G62" s="225">
        <f>'Cost Recovery Timing'!S39</f>
        <v>28.58</v>
      </c>
      <c r="H62" s="224">
        <f>Assumptions!$B$23</f>
        <v>0.02</v>
      </c>
      <c r="I62" s="253">
        <f t="shared" si="20"/>
        <v>86081.25247244921</v>
      </c>
      <c r="J62" s="255">
        <f>(G62*I62*Assumptions!$B$28)+(G61*I61*Assumptions!$B$27)+(G60*I60*Assumptions!$B$26)</f>
        <v>2407517.3581776284</v>
      </c>
      <c r="K62" s="252">
        <f t="shared" ca="1" si="12"/>
        <v>-3340238.5115193054</v>
      </c>
      <c r="L62" s="255">
        <f t="shared" ca="1" si="17"/>
        <v>0</v>
      </c>
      <c r="M62" s="254">
        <f t="shared" ca="1" si="18"/>
        <v>-150177.12347790797</v>
      </c>
      <c r="N62" s="285">
        <f t="shared" ca="1" si="23"/>
        <v>-3490415.6349972133</v>
      </c>
      <c r="P62" s="47"/>
    </row>
    <row r="63" spans="1:17" ht="15" customHeight="1">
      <c r="A63" s="226" t="s">
        <v>184</v>
      </c>
      <c r="B63" s="293">
        <f t="shared" si="16"/>
        <v>2051</v>
      </c>
      <c r="C63" s="296">
        <f t="shared" ca="1" si="19"/>
        <v>-3490415.6349972133</v>
      </c>
      <c r="D63" s="296"/>
      <c r="E63" s="296"/>
      <c r="F63" s="297">
        <f ca="1">OFFSET($L$20,0,B63-Assumptions!$B$3)</f>
        <v>0</v>
      </c>
      <c r="G63" s="227">
        <f>'Cost Recovery Timing'!S40</f>
        <v>10.104000000000042</v>
      </c>
      <c r="H63" s="228">
        <f>Assumptions!$B$23</f>
        <v>0.02</v>
      </c>
      <c r="I63" s="297">
        <f t="shared" si="20"/>
        <v>87802.87752189819</v>
      </c>
      <c r="J63" s="297">
        <f>(G63*I63*Assumptions!$B$28)+(G62*I62*Assumptions!$B$27)+(G61*I61*Assumptions!$B$26)</f>
        <v>1968993.9158128048</v>
      </c>
      <c r="K63" s="296">
        <f t="shared" ca="1" si="12"/>
        <v>-1521421.7191844084</v>
      </c>
      <c r="L63" s="297">
        <f t="shared" ca="1" si="17"/>
        <v>0</v>
      </c>
      <c r="M63" s="301">
        <f t="shared" ca="1" si="18"/>
        <v>-68403.120494531002</v>
      </c>
      <c r="N63" s="302">
        <f t="shared" ca="1" si="23"/>
        <v>-1589824.8396789394</v>
      </c>
      <c r="O63" s="811" t="s">
        <v>325</v>
      </c>
      <c r="P63" s="812"/>
      <c r="Q63" s="812"/>
    </row>
    <row r="64" spans="1:17" ht="15" customHeight="1">
      <c r="B64" s="218">
        <f t="shared" si="16"/>
        <v>2052</v>
      </c>
      <c r="C64" s="252">
        <f t="shared" ca="1" si="19"/>
        <v>-1589824.8396789394</v>
      </c>
      <c r="D64" s="252"/>
      <c r="E64" s="252"/>
      <c r="F64" s="253">
        <f ca="1">OFFSET($L$20,0,B64-Assumptions!$B$3)</f>
        <v>0</v>
      </c>
      <c r="G64" s="225">
        <f>'Cost Recovery Timing'!S41</f>
        <v>0</v>
      </c>
      <c r="H64" s="224">
        <f>Assumptions!$B$23</f>
        <v>0.02</v>
      </c>
      <c r="I64" s="253">
        <f t="shared" si="20"/>
        <v>0</v>
      </c>
      <c r="J64" s="253">
        <f>(G64*I64*Assumptions!$B$28)+(G63*I63*Assumptions!$B$27)+(G62*I62*Assumptions!$B$26)</f>
        <v>1250228.9606094181</v>
      </c>
      <c r="K64" s="255">
        <f t="shared" ca="1" si="12"/>
        <v>-339595.87906952132</v>
      </c>
      <c r="L64" s="255">
        <f t="shared" ref="L64:L72" ca="1" si="24">IF(K64&lt;0,0,+K64*$L$32)</f>
        <v>0</v>
      </c>
      <c r="M64" s="254">
        <f t="shared" ref="M64:M72" ca="1" si="25">IF(K64&lt;0,+K64*$M$32,0)</f>
        <v>-15268.230722965678</v>
      </c>
      <c r="N64" s="633">
        <f t="shared" ca="1" si="23"/>
        <v>-354864.109792487</v>
      </c>
      <c r="O64" s="811"/>
      <c r="P64" s="812"/>
      <c r="Q64" s="812"/>
    </row>
    <row r="65" spans="2:17">
      <c r="B65" s="218">
        <f t="shared" si="16"/>
        <v>2053</v>
      </c>
      <c r="C65" s="252">
        <f t="shared" ca="1" si="19"/>
        <v>-354864.109792487</v>
      </c>
      <c r="D65" s="252"/>
      <c r="E65" s="252"/>
      <c r="F65" s="253">
        <f ca="1">OFFSET($L$20,0,B65-Assumptions!$B$3)</f>
        <v>0</v>
      </c>
      <c r="G65" s="225">
        <f>'Cost Recovery Timing'!S42</f>
        <v>0</v>
      </c>
      <c r="H65" s="224">
        <f>Assumptions!$B$23</f>
        <v>0.02</v>
      </c>
      <c r="I65" s="253">
        <f t="shared" si="20"/>
        <v>0</v>
      </c>
      <c r="J65" s="253">
        <f>(G65*I65*Assumptions!$B$28)+(G64*I64*Assumptions!$B$27)+(G63*I63*Assumptions!$B$26)</f>
        <v>354864.10979250522</v>
      </c>
      <c r="K65" s="255">
        <f t="shared" ca="1" si="12"/>
        <v>1.8218997865915298E-8</v>
      </c>
      <c r="L65" s="255">
        <f t="shared" ca="1" si="24"/>
        <v>4.8717600293457515E-10</v>
      </c>
      <c r="M65" s="254">
        <f t="shared" ca="1" si="25"/>
        <v>0</v>
      </c>
      <c r="N65" s="633">
        <f t="shared" ca="1" si="23"/>
        <v>1.8706173868849873E-8</v>
      </c>
      <c r="O65" s="811"/>
      <c r="P65" s="812"/>
      <c r="Q65" s="812"/>
    </row>
    <row r="66" spans="2:17">
      <c r="B66" s="218">
        <f t="shared" si="16"/>
        <v>2054</v>
      </c>
      <c r="C66" s="252">
        <f t="shared" ca="1" si="19"/>
        <v>1.8706173868849873E-8</v>
      </c>
      <c r="D66" s="252"/>
      <c r="E66" s="252"/>
      <c r="F66" s="253">
        <f ca="1">OFFSET($L$20,0,B66-Assumptions!$B$3)</f>
        <v>0</v>
      </c>
      <c r="G66" s="225">
        <f>'Cost Recovery Timing'!S43</f>
        <v>0</v>
      </c>
      <c r="H66" s="224">
        <f>Assumptions!$B$23</f>
        <v>0.02</v>
      </c>
      <c r="I66" s="253">
        <f t="shared" si="20"/>
        <v>0</v>
      </c>
      <c r="J66" s="253">
        <f>(G66*I66*Assumptions!$B$28)+(G65*I65*Assumptions!$B$27)+(G64*I64*Assumptions!$B$26)</f>
        <v>0</v>
      </c>
      <c r="K66" s="255">
        <f t="shared" ca="1" si="12"/>
        <v>1.8706173868849873E-8</v>
      </c>
      <c r="L66" s="255">
        <f t="shared" ca="1" si="24"/>
        <v>5.0020308925304567E-10</v>
      </c>
      <c r="M66" s="254">
        <f t="shared" ca="1" si="25"/>
        <v>0</v>
      </c>
      <c r="N66" s="285">
        <f t="shared" ca="1" si="23"/>
        <v>1.9206376958102919E-8</v>
      </c>
    </row>
    <row r="67" spans="2:17">
      <c r="B67" s="218">
        <f t="shared" si="16"/>
        <v>2055</v>
      </c>
      <c r="C67" s="252">
        <f t="shared" ca="1" si="19"/>
        <v>1.9206376958102919E-8</v>
      </c>
      <c r="D67" s="252"/>
      <c r="E67" s="252"/>
      <c r="F67" s="253">
        <f ca="1">OFFSET($L$20,0,B67-Assumptions!$B$3)</f>
        <v>0</v>
      </c>
      <c r="G67" s="225">
        <f>'Cost Recovery Timing'!S44</f>
        <v>0</v>
      </c>
      <c r="H67" s="224">
        <f>Assumptions!$B$23</f>
        <v>0.02</v>
      </c>
      <c r="I67" s="253">
        <f t="shared" si="20"/>
        <v>0</v>
      </c>
      <c r="J67" s="253">
        <f>(G67*I67*Assumptions!$B$28)+(G66*I66*Assumptions!$B$27)+(G65*I65*Assumptions!$B$26)</f>
        <v>0</v>
      </c>
      <c r="K67" s="255">
        <f t="shared" ca="1" si="12"/>
        <v>1.9206376958102919E-8</v>
      </c>
      <c r="L67" s="255">
        <f t="shared" ca="1" si="24"/>
        <v>5.1357851985967214E-10</v>
      </c>
      <c r="M67" s="254">
        <f t="shared" ca="1" si="25"/>
        <v>0</v>
      </c>
      <c r="N67" s="285">
        <f t="shared" ca="1" si="23"/>
        <v>1.9719955477962593E-8</v>
      </c>
    </row>
    <row r="68" spans="2:17">
      <c r="B68" s="218">
        <f t="shared" si="16"/>
        <v>2056</v>
      </c>
      <c r="C68" s="252">
        <f t="shared" ca="1" si="19"/>
        <v>1.9719955477962593E-8</v>
      </c>
      <c r="D68" s="252"/>
      <c r="E68" s="252"/>
      <c r="F68" s="253">
        <f ca="1">OFFSET($L$20,0,B68-Assumptions!$B$3)</f>
        <v>0</v>
      </c>
      <c r="G68" s="225">
        <f>'Cost Recovery Timing'!S45</f>
        <v>0</v>
      </c>
      <c r="H68" s="224">
        <f>Assumptions!$B$23</f>
        <v>0.02</v>
      </c>
      <c r="I68" s="253">
        <f t="shared" si="20"/>
        <v>0</v>
      </c>
      <c r="J68" s="253">
        <f>(G68*I68*Assumptions!$B$28)+(G67*I67*Assumptions!$B$27)+(G66*I66*Assumptions!$B$26)</f>
        <v>0</v>
      </c>
      <c r="K68" s="255">
        <f t="shared" ca="1" si="12"/>
        <v>1.9719955477962593E-8</v>
      </c>
      <c r="L68" s="255">
        <f t="shared" ca="1" si="24"/>
        <v>5.2731160948071984E-10</v>
      </c>
      <c r="M68" s="254">
        <f t="shared" ca="1" si="25"/>
        <v>0</v>
      </c>
      <c r="N68" s="285">
        <f t="shared" ca="1" si="23"/>
        <v>2.0247267087443312E-8</v>
      </c>
    </row>
    <row r="69" spans="2:17">
      <c r="B69" s="218">
        <f t="shared" si="16"/>
        <v>2057</v>
      </c>
      <c r="C69" s="252">
        <f t="shared" ca="1" si="19"/>
        <v>2.0247267087443312E-8</v>
      </c>
      <c r="D69" s="252"/>
      <c r="E69" s="252"/>
      <c r="F69" s="253">
        <f ca="1">OFFSET($L$20,0,B69-Assumptions!$B$3)</f>
        <v>0</v>
      </c>
      <c r="G69" s="225">
        <f>'Cost Recovery Timing'!S46</f>
        <v>0</v>
      </c>
      <c r="H69" s="224">
        <f>Assumptions!$B$23</f>
        <v>0.02</v>
      </c>
      <c r="I69" s="253">
        <f t="shared" si="20"/>
        <v>0</v>
      </c>
      <c r="J69" s="253">
        <f>(G69*I69*Assumptions!$B$28)+(G68*I68*Assumptions!$B$27)+(G67*I67*Assumptions!$B$26)</f>
        <v>0</v>
      </c>
      <c r="K69" s="255">
        <f t="shared" ca="1" si="12"/>
        <v>2.0247267087443312E-8</v>
      </c>
      <c r="L69" s="255">
        <f t="shared" ca="1" si="24"/>
        <v>5.4141192191823429E-10</v>
      </c>
      <c r="M69" s="254">
        <f t="shared" ca="1" si="25"/>
        <v>0</v>
      </c>
      <c r="N69" s="285">
        <f t="shared" ca="1" si="23"/>
        <v>2.0788679009361546E-8</v>
      </c>
    </row>
    <row r="70" spans="2:17">
      <c r="B70" s="218">
        <f t="shared" si="16"/>
        <v>2058</v>
      </c>
      <c r="C70" s="252">
        <f t="shared" ca="1" si="19"/>
        <v>2.0788679009361546E-8</v>
      </c>
      <c r="D70" s="252"/>
      <c r="E70" s="252"/>
      <c r="F70" s="253">
        <f ca="1">OFFSET($L$20,0,B70-Assumptions!$B$3)</f>
        <v>0</v>
      </c>
      <c r="G70" s="225">
        <f>'Cost Recovery Timing'!S47</f>
        <v>0</v>
      </c>
      <c r="H70" s="224">
        <f>Assumptions!$B$23</f>
        <v>0.02</v>
      </c>
      <c r="I70" s="253">
        <f t="shared" si="20"/>
        <v>0</v>
      </c>
      <c r="J70" s="253">
        <f>(G70*I70*Assumptions!$B$28)+(G69*I69*Assumptions!$B$27)+(G68*I68*Assumptions!$B$26)</f>
        <v>0</v>
      </c>
      <c r="K70" s="255">
        <f t="shared" ca="1" si="12"/>
        <v>2.0788679009361546E-8</v>
      </c>
      <c r="L70" s="255">
        <f t="shared" ca="1" si="24"/>
        <v>5.5588927671032776E-10</v>
      </c>
      <c r="M70" s="254">
        <f t="shared" ca="1" si="25"/>
        <v>0</v>
      </c>
      <c r="N70" s="285">
        <f t="shared" ca="1" si="23"/>
        <v>2.1344568286071873E-8</v>
      </c>
    </row>
    <row r="71" spans="2:17">
      <c r="B71" s="218">
        <f t="shared" si="16"/>
        <v>2059</v>
      </c>
      <c r="C71" s="252">
        <f t="shared" ca="1" si="19"/>
        <v>2.1344568286071873E-8</v>
      </c>
      <c r="D71" s="252"/>
      <c r="E71" s="252"/>
      <c r="F71" s="253">
        <f ca="1">OFFSET($L$20,0,B71-Assumptions!$B$3)</f>
        <v>0</v>
      </c>
      <c r="G71" s="225">
        <f>'Cost Recovery Timing'!S48</f>
        <v>0</v>
      </c>
      <c r="H71" s="224">
        <f>Assumptions!$B$23</f>
        <v>0.02</v>
      </c>
      <c r="I71" s="253">
        <f t="shared" si="20"/>
        <v>0</v>
      </c>
      <c r="J71" s="253">
        <f>(G71*I71*Assumptions!$B$28)+(G70*I70*Assumptions!$B$27)+(G69*I69*Assumptions!$B$26)</f>
        <v>0</v>
      </c>
      <c r="K71" s="255">
        <f t="shared" ca="1" si="12"/>
        <v>2.1344568286071873E-8</v>
      </c>
      <c r="L71" s="255">
        <f t="shared" ca="1" si="24"/>
        <v>5.7075375596956197E-10</v>
      </c>
      <c r="M71" s="254">
        <f t="shared" ca="1" si="25"/>
        <v>0</v>
      </c>
      <c r="N71" s="285">
        <f t="shared" ca="1" si="23"/>
        <v>2.1915322042041436E-8</v>
      </c>
    </row>
    <row r="72" spans="2:17" ht="15" thickBot="1">
      <c r="B72" s="221">
        <f t="shared" si="16"/>
        <v>2060</v>
      </c>
      <c r="C72" s="258">
        <f t="shared" ca="1" si="19"/>
        <v>2.1915322042041436E-8</v>
      </c>
      <c r="D72" s="258"/>
      <c r="E72" s="258"/>
      <c r="F72" s="283">
        <f ca="1">OFFSET($L$20,0,B72-Assumptions!$B$3)</f>
        <v>0</v>
      </c>
      <c r="G72" s="318">
        <f>'Cost Recovery Timing'!S49</f>
        <v>0</v>
      </c>
      <c r="H72" s="230">
        <f>Assumptions!$B$23</f>
        <v>0.02</v>
      </c>
      <c r="I72" s="283">
        <f t="shared" si="20"/>
        <v>0</v>
      </c>
      <c r="J72" s="283">
        <f>(G72*I72*Assumptions!$B$28)+(G71*I71*Assumptions!$B$27)+(G70*I70*Assumptions!$B$26)</f>
        <v>0</v>
      </c>
      <c r="K72" s="284">
        <f t="shared" ca="1" si="12"/>
        <v>2.1915322042041436E-8</v>
      </c>
      <c r="L72" s="284">
        <f t="shared" ca="1" si="24"/>
        <v>5.8601571140418813E-10</v>
      </c>
      <c r="M72" s="286">
        <f t="shared" ca="1" si="25"/>
        <v>0</v>
      </c>
      <c r="N72" s="287">
        <f t="shared" ca="1" si="23"/>
        <v>2.2501337753445626E-8</v>
      </c>
    </row>
    <row r="73" spans="2:17">
      <c r="B73" s="113"/>
      <c r="C73" s="115"/>
      <c r="D73" s="116"/>
      <c r="E73" s="117"/>
      <c r="F73" s="118"/>
      <c r="G73" s="116"/>
      <c r="H73" s="116"/>
      <c r="I73" s="119"/>
      <c r="J73" s="119"/>
      <c r="K73" s="120"/>
      <c r="L73" s="121"/>
    </row>
    <row r="74" spans="2:17">
      <c r="B74" s="113"/>
      <c r="C74" s="115"/>
      <c r="D74" s="116"/>
      <c r="E74" s="117"/>
      <c r="F74" s="118"/>
      <c r="G74" s="116"/>
      <c r="H74" s="116"/>
      <c r="I74" s="119"/>
      <c r="J74" s="119"/>
      <c r="K74" s="120"/>
      <c r="L74" s="121"/>
    </row>
    <row r="75" spans="2:17">
      <c r="B75" s="113"/>
      <c r="C75" s="115"/>
      <c r="D75" s="116"/>
      <c r="E75" s="117"/>
      <c r="F75" s="118"/>
      <c r="G75" s="116"/>
      <c r="H75" s="116"/>
      <c r="I75" s="119"/>
      <c r="J75" s="119"/>
      <c r="K75" s="120"/>
      <c r="L75" s="121"/>
    </row>
    <row r="76" spans="2:17">
      <c r="B76" s="113"/>
      <c r="C76" s="115"/>
      <c r="D76" s="116"/>
      <c r="E76" s="117"/>
      <c r="F76" s="118"/>
      <c r="G76" s="116"/>
      <c r="H76" s="116"/>
      <c r="I76" s="119"/>
      <c r="J76" s="119"/>
      <c r="K76" s="120"/>
      <c r="L76" s="121"/>
    </row>
    <row r="77" spans="2:17">
      <c r="B77" s="113"/>
      <c r="C77" s="115"/>
      <c r="D77" s="116"/>
      <c r="E77" s="117"/>
      <c r="F77" s="118"/>
      <c r="G77" s="116"/>
      <c r="H77" s="116"/>
      <c r="I77" s="119"/>
      <c r="J77" s="119"/>
      <c r="K77" s="120"/>
      <c r="L77" s="121"/>
    </row>
    <row r="78" spans="2:17">
      <c r="B78" s="113"/>
      <c r="C78" s="115"/>
      <c r="D78" s="116"/>
      <c r="E78" s="117"/>
      <c r="F78" s="118"/>
      <c r="G78" s="116"/>
      <c r="H78" s="116"/>
      <c r="I78" s="119"/>
      <c r="J78" s="119"/>
      <c r="K78" s="120"/>
      <c r="L78" s="121"/>
    </row>
    <row r="79" spans="2:17">
      <c r="B79" s="113"/>
      <c r="C79" s="115"/>
      <c r="D79" s="116"/>
      <c r="E79" s="117"/>
      <c r="F79" s="118"/>
      <c r="G79" s="116"/>
      <c r="H79" s="116"/>
      <c r="I79" s="119"/>
      <c r="J79" s="119"/>
      <c r="K79" s="120"/>
      <c r="L79" s="121"/>
    </row>
    <row r="80" spans="2:17">
      <c r="B80" s="113"/>
      <c r="C80" s="115"/>
      <c r="D80" s="116"/>
      <c r="E80" s="117"/>
      <c r="F80" s="118"/>
      <c r="G80" s="116"/>
      <c r="H80" s="116"/>
      <c r="I80" s="119"/>
      <c r="J80" s="119"/>
      <c r="K80" s="120"/>
      <c r="L80" s="121"/>
    </row>
    <row r="81" spans="2:12">
      <c r="B81" s="113"/>
      <c r="C81" s="115"/>
      <c r="D81" s="116"/>
      <c r="E81" s="117"/>
      <c r="F81" s="118"/>
      <c r="G81" s="116"/>
      <c r="H81" s="116"/>
      <c r="I81" s="119"/>
      <c r="J81" s="119"/>
      <c r="K81" s="120"/>
      <c r="L81" s="121"/>
    </row>
    <row r="82" spans="2:12">
      <c r="B82" s="113"/>
      <c r="C82" s="115"/>
      <c r="D82" s="116"/>
      <c r="E82" s="117"/>
      <c r="F82" s="118"/>
      <c r="G82" s="116"/>
      <c r="H82" s="116"/>
      <c r="I82" s="119"/>
      <c r="J82" s="119"/>
      <c r="K82" s="120"/>
      <c r="L82" s="121"/>
    </row>
    <row r="83" spans="2:12">
      <c r="B83" s="113"/>
      <c r="C83" s="115"/>
      <c r="D83" s="116"/>
      <c r="E83" s="117"/>
      <c r="F83" s="118"/>
      <c r="G83" s="116"/>
      <c r="H83" s="116"/>
      <c r="I83" s="119"/>
      <c r="J83" s="119"/>
      <c r="K83" s="120"/>
      <c r="L83" s="121"/>
    </row>
  </sheetData>
  <dataConsolidate/>
  <mergeCells count="25">
    <mergeCell ref="O63:Q65"/>
    <mergeCell ref="B3:J3"/>
    <mergeCell ref="B4:J4"/>
    <mergeCell ref="B5:J5"/>
    <mergeCell ref="J8:J10"/>
    <mergeCell ref="N28:N32"/>
    <mergeCell ref="L29:M29"/>
    <mergeCell ref="K8:K9"/>
    <mergeCell ref="K28:K30"/>
    <mergeCell ref="L28:M28"/>
    <mergeCell ref="F28:F30"/>
    <mergeCell ref="G28:G30"/>
    <mergeCell ref="J28:J30"/>
    <mergeCell ref="I8:I10"/>
    <mergeCell ref="H28:H31"/>
    <mergeCell ref="F8:F9"/>
    <mergeCell ref="A8:A10"/>
    <mergeCell ref="B8:B10"/>
    <mergeCell ref="C8:E8"/>
    <mergeCell ref="C28:C32"/>
    <mergeCell ref="C9:C10"/>
    <mergeCell ref="D9:D10"/>
    <mergeCell ref="E9:E10"/>
    <mergeCell ref="D28:D31"/>
    <mergeCell ref="E28:E30"/>
  </mergeCells>
  <pageMargins left="0.7" right="0.7" top="0.75" bottom="0.75" header="0.3" footer="0.3"/>
  <pageSetup orientation="portrait" r:id="rId1"/>
  <tableParts count="1">
    <tablePart r:id="rId2"/>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F7B3DC-7237-4F2E-9AA0-AEE05A86EA6E}">
  <sheetPr codeName="Sheet59">
    <tabColor rgb="FFC00000"/>
  </sheetPr>
  <dimension ref="A3:BU93"/>
  <sheetViews>
    <sheetView showGridLines="0" topLeftCell="A29" zoomScale="70" zoomScaleNormal="70" workbookViewId="0">
      <selection activeCell="BW40" sqref="BW40"/>
    </sheetView>
  </sheetViews>
  <sheetFormatPr defaultColWidth="9.109375" defaultRowHeight="14.4"/>
  <cols>
    <col min="1" max="1" width="35.44140625" customWidth="1"/>
    <col min="2" max="2" width="69.5546875" customWidth="1"/>
    <col min="3" max="3" width="16.6640625" customWidth="1"/>
    <col min="4" max="5" width="19.5546875" customWidth="1"/>
    <col min="6" max="6" width="25.44140625" customWidth="1"/>
    <col min="7" max="9" width="23.109375" style="1" customWidth="1"/>
    <col min="10" max="12" width="25.109375" customWidth="1"/>
    <col min="13" max="13" width="18.6640625" customWidth="1"/>
    <col min="14" max="14" width="23.21875" customWidth="1"/>
    <col min="15" max="15" width="26.21875" customWidth="1"/>
    <col min="16" max="16" width="24.5546875" customWidth="1"/>
    <col min="17" max="17" width="27.88671875" customWidth="1"/>
    <col min="18" max="18" width="20.109375" customWidth="1"/>
    <col min="19" max="19" width="17.88671875" customWidth="1"/>
    <col min="20" max="20" width="18.21875" customWidth="1"/>
    <col min="21" max="21" width="16.88671875" customWidth="1"/>
    <col min="22" max="22" width="20" customWidth="1"/>
    <col min="23" max="23" width="18.21875" customWidth="1"/>
    <col min="24" max="24" width="19.5546875" customWidth="1"/>
    <col min="25" max="25" width="18.6640625" customWidth="1"/>
    <col min="26" max="26" width="20" customWidth="1"/>
    <col min="27" max="27" width="17.109375" customWidth="1"/>
    <col min="28" max="28" width="16.44140625" customWidth="1"/>
    <col min="29" max="29" width="15.44140625" customWidth="1"/>
    <col min="30" max="30" width="16" customWidth="1"/>
    <col min="31" max="31" width="15.88671875" customWidth="1"/>
    <col min="32" max="34" width="18.21875" customWidth="1"/>
    <col min="35" max="35" width="17.44140625" customWidth="1"/>
    <col min="36" max="36" width="19.5546875" customWidth="1"/>
    <col min="37" max="37" width="17.44140625" customWidth="1"/>
    <col min="38" max="38" width="16.44140625" customWidth="1"/>
    <col min="39" max="73" width="18.88671875" customWidth="1"/>
    <col min="74" max="74" width="20.21875" customWidth="1"/>
    <col min="75" max="75" width="18.88671875" customWidth="1"/>
    <col min="76" max="76" width="20" customWidth="1"/>
    <col min="77" max="77" width="17.109375" customWidth="1"/>
    <col min="78" max="78" width="20.21875" customWidth="1"/>
    <col min="79" max="79" width="16.88671875" customWidth="1"/>
    <col min="80" max="80" width="16.21875" customWidth="1"/>
    <col min="81" max="81" width="21.109375" customWidth="1"/>
    <col min="82" max="82" width="19.109375" customWidth="1"/>
  </cols>
  <sheetData>
    <row r="3" spans="1:73" ht="15.6">
      <c r="B3" s="794" t="s">
        <v>115</v>
      </c>
      <c r="C3" s="794"/>
      <c r="D3" s="794"/>
      <c r="E3" s="794"/>
      <c r="F3" s="794"/>
      <c r="G3" s="794"/>
      <c r="H3" s="794"/>
      <c r="I3" s="794"/>
      <c r="J3" s="794"/>
      <c r="K3" s="17"/>
      <c r="L3" s="17"/>
      <c r="M3" s="2"/>
      <c r="N3" s="29"/>
      <c r="O3" s="30"/>
      <c r="P3" s="30"/>
      <c r="Q3" s="31"/>
      <c r="R3" s="29"/>
      <c r="S3" s="32"/>
      <c r="T3" s="32"/>
      <c r="U3" s="32"/>
      <c r="V3" s="32"/>
      <c r="W3" s="32"/>
      <c r="X3" s="32"/>
      <c r="Y3" s="32"/>
      <c r="Z3" s="32"/>
      <c r="AA3" s="32"/>
      <c r="AB3" s="32"/>
      <c r="AC3" s="32"/>
      <c r="AD3" s="32"/>
      <c r="AE3" s="32"/>
      <c r="AF3" s="32"/>
      <c r="AG3" s="32"/>
      <c r="AH3" s="32"/>
      <c r="AI3" s="32"/>
      <c r="AJ3" s="32"/>
      <c r="AK3" s="32"/>
      <c r="AL3" s="32"/>
      <c r="AM3" s="32"/>
      <c r="AN3" s="32"/>
      <c r="AO3" s="32"/>
      <c r="AP3" s="32"/>
      <c r="AQ3" s="32"/>
      <c r="AR3" s="32"/>
      <c r="AS3" s="32"/>
      <c r="AT3" s="32"/>
      <c r="AU3" s="32"/>
      <c r="AV3" s="32"/>
      <c r="AW3" s="32"/>
      <c r="AX3" s="32"/>
      <c r="AY3" s="32"/>
      <c r="AZ3" s="32"/>
      <c r="BA3" s="32"/>
      <c r="BB3" s="32"/>
      <c r="BC3" s="32"/>
      <c r="BD3" s="32"/>
      <c r="BE3" s="32"/>
      <c r="BF3" s="32"/>
      <c r="BG3" s="32"/>
      <c r="BH3" s="32"/>
      <c r="BI3" s="32"/>
      <c r="BJ3" s="32"/>
      <c r="BK3" s="32"/>
      <c r="BL3" s="32"/>
      <c r="BM3" s="32"/>
      <c r="BN3" s="32"/>
      <c r="BO3" s="32"/>
      <c r="BP3" s="32"/>
      <c r="BQ3" s="32"/>
      <c r="BR3" s="32"/>
      <c r="BS3" s="32"/>
      <c r="BT3" s="32"/>
      <c r="BU3" s="32"/>
    </row>
    <row r="4" spans="1:73" ht="15.6">
      <c r="B4" s="794" t="s">
        <v>32</v>
      </c>
      <c r="C4" s="794"/>
      <c r="D4" s="794"/>
      <c r="E4" s="794"/>
      <c r="F4" s="794"/>
      <c r="G4" s="794"/>
      <c r="H4" s="794"/>
      <c r="I4" s="794"/>
      <c r="J4" s="794"/>
      <c r="K4" s="17"/>
      <c r="L4" s="17"/>
      <c r="M4" s="17"/>
      <c r="N4" s="29"/>
      <c r="O4" s="30"/>
      <c r="P4" s="30"/>
      <c r="Q4" s="31"/>
      <c r="R4" s="29"/>
      <c r="S4" s="32"/>
      <c r="T4" s="32"/>
      <c r="U4" s="32"/>
      <c r="V4" s="32"/>
      <c r="W4" s="32"/>
      <c r="X4" s="32"/>
      <c r="Y4" s="32"/>
      <c r="Z4" s="32"/>
      <c r="AA4" s="32"/>
      <c r="AB4" s="32"/>
      <c r="AC4" s="32"/>
      <c r="AD4" s="32"/>
      <c r="AE4" s="32"/>
      <c r="AF4" s="32"/>
      <c r="AG4" s="32"/>
      <c r="AH4" s="32"/>
      <c r="AI4" s="32"/>
      <c r="AJ4" s="32"/>
      <c r="AK4" s="32"/>
      <c r="AL4" s="32"/>
      <c r="AM4" s="32"/>
      <c r="AN4" s="32"/>
      <c r="AO4" s="32"/>
      <c r="AP4" s="32"/>
      <c r="AQ4" s="32"/>
      <c r="AR4" s="32"/>
      <c r="AS4" s="32"/>
      <c r="AT4" s="32"/>
      <c r="AU4" s="32"/>
      <c r="AV4" s="32"/>
      <c r="AW4" s="32"/>
      <c r="AX4" s="32"/>
      <c r="AY4" s="32"/>
      <c r="AZ4" s="32"/>
      <c r="BA4" s="32"/>
      <c r="BB4" s="32"/>
      <c r="BC4" s="32"/>
      <c r="BD4" s="32"/>
      <c r="BE4" s="32"/>
      <c r="BF4" s="32"/>
      <c r="BG4" s="32"/>
      <c r="BH4" s="32"/>
      <c r="BI4" s="32"/>
      <c r="BJ4" s="32"/>
      <c r="BK4" s="32"/>
      <c r="BL4" s="32"/>
      <c r="BM4" s="32"/>
      <c r="BN4" s="32"/>
      <c r="BO4" s="32"/>
      <c r="BP4" s="32"/>
      <c r="BQ4" s="32"/>
      <c r="BR4" s="32"/>
      <c r="BS4" s="32"/>
      <c r="BT4" s="32"/>
      <c r="BU4" s="32"/>
    </row>
    <row r="5" spans="1:73" ht="15.6">
      <c r="B5" s="794" t="str">
        <f>Assumptions!B3&amp;" $s"</f>
        <v>2026 $s</v>
      </c>
      <c r="C5" s="794"/>
      <c r="D5" s="794"/>
      <c r="E5" s="794"/>
      <c r="F5" s="794"/>
      <c r="G5" s="794"/>
      <c r="H5" s="794"/>
      <c r="I5" s="794"/>
      <c r="J5" s="794"/>
      <c r="K5" s="17"/>
      <c r="L5" s="17"/>
      <c r="M5" s="54"/>
      <c r="N5" s="29"/>
      <c r="O5" s="30"/>
      <c r="P5" s="30"/>
      <c r="Q5" s="31"/>
      <c r="R5" s="29"/>
      <c r="S5" s="32"/>
      <c r="T5" s="32"/>
      <c r="U5" s="32"/>
      <c r="V5" s="32"/>
      <c r="W5" s="32"/>
      <c r="X5" s="32"/>
      <c r="Y5" s="32"/>
      <c r="Z5" s="32"/>
      <c r="AA5" s="32"/>
      <c r="AB5" s="32"/>
      <c r="AC5" s="32"/>
      <c r="AD5" s="32"/>
      <c r="AE5" s="32"/>
      <c r="AF5" s="32"/>
      <c r="AG5" s="32"/>
      <c r="AH5" s="32"/>
      <c r="AI5" s="32"/>
      <c r="AJ5" s="32"/>
      <c r="AK5" s="32"/>
      <c r="AL5" s="32"/>
      <c r="AM5" s="32"/>
      <c r="AN5" s="32"/>
      <c r="AO5" s="32"/>
      <c r="AP5" s="32"/>
      <c r="AQ5" s="32"/>
      <c r="AR5" s="32"/>
      <c r="AS5" s="32"/>
      <c r="AT5" s="32"/>
      <c r="AU5" s="32"/>
      <c r="AV5" s="32"/>
      <c r="AW5" s="32"/>
      <c r="AX5" s="32"/>
      <c r="AY5" s="32"/>
      <c r="AZ5" s="32"/>
      <c r="BA5" s="32"/>
      <c r="BB5" s="32"/>
      <c r="BC5" s="32"/>
      <c r="BD5" s="32"/>
      <c r="BE5" s="32"/>
      <c r="BF5" s="32"/>
      <c r="BG5" s="32"/>
      <c r="BH5" s="32"/>
      <c r="BI5" s="32"/>
      <c r="BJ5" s="32"/>
      <c r="BK5" s="32"/>
      <c r="BL5" s="32"/>
      <c r="BM5" s="32"/>
      <c r="BN5" s="32"/>
      <c r="BO5" s="32"/>
      <c r="BP5" s="32"/>
      <c r="BQ5" s="32"/>
      <c r="BR5" s="32"/>
      <c r="BS5" s="32"/>
      <c r="BT5" s="32"/>
      <c r="BU5" s="32"/>
    </row>
    <row r="6" spans="1:73" ht="15.6" hidden="1">
      <c r="K6" s="17"/>
      <c r="L6" s="83">
        <v>1</v>
      </c>
      <c r="M6" s="84">
        <f>(1+M7)</f>
        <v>1.0249999999999999</v>
      </c>
      <c r="N6" s="84">
        <f>+(1+N7)*M6</f>
        <v>1.0506249999999999</v>
      </c>
      <c r="O6" s="84">
        <f t="shared" ref="O6:BS6" si="0">+(1+O7)*N6</f>
        <v>1.0768906249999999</v>
      </c>
      <c r="P6" s="84">
        <f t="shared" si="0"/>
        <v>1.1038128906249998</v>
      </c>
      <c r="Q6" s="84">
        <f t="shared" si="0"/>
        <v>1.1314082128906247</v>
      </c>
      <c r="R6" s="84">
        <f t="shared" si="0"/>
        <v>1.1596934182128902</v>
      </c>
      <c r="S6" s="84">
        <f t="shared" si="0"/>
        <v>1.1886857536682123</v>
      </c>
      <c r="T6" s="84">
        <f t="shared" si="0"/>
        <v>1.2184028975099175</v>
      </c>
      <c r="U6" s="84">
        <f t="shared" si="0"/>
        <v>1.2488629699476652</v>
      </c>
      <c r="V6" s="84">
        <f t="shared" si="0"/>
        <v>1.2800845441963566</v>
      </c>
      <c r="W6" s="84">
        <f t="shared" si="0"/>
        <v>1.3120866578012655</v>
      </c>
      <c r="X6" s="84">
        <f t="shared" si="0"/>
        <v>1.3448888242462971</v>
      </c>
      <c r="Y6" s="84">
        <f t="shared" si="0"/>
        <v>1.3785110448524545</v>
      </c>
      <c r="Z6" s="84">
        <f t="shared" si="0"/>
        <v>1.4129738209737657</v>
      </c>
      <c r="AA6" s="84">
        <f t="shared" si="0"/>
        <v>1.4482981664981096</v>
      </c>
      <c r="AB6" s="84">
        <f t="shared" si="0"/>
        <v>1.4845056206605622</v>
      </c>
      <c r="AC6" s="84">
        <f t="shared" si="0"/>
        <v>1.5216182611770761</v>
      </c>
      <c r="AD6" s="84">
        <f t="shared" si="0"/>
        <v>1.5596587177065029</v>
      </c>
      <c r="AE6" s="84">
        <f t="shared" si="0"/>
        <v>1.5986501856491653</v>
      </c>
      <c r="AF6" s="84">
        <f t="shared" si="0"/>
        <v>1.6386164402903942</v>
      </c>
      <c r="AG6" s="84">
        <f t="shared" si="0"/>
        <v>1.6795818512976539</v>
      </c>
      <c r="AH6" s="84">
        <f t="shared" si="0"/>
        <v>1.721571397580095</v>
      </c>
      <c r="AI6" s="84">
        <f t="shared" si="0"/>
        <v>1.7646106825195973</v>
      </c>
      <c r="AJ6" s="84">
        <f t="shared" si="0"/>
        <v>1.8087259495825871</v>
      </c>
      <c r="AK6" s="84">
        <f t="shared" si="0"/>
        <v>1.8539440983221516</v>
      </c>
      <c r="AL6" s="84">
        <f t="shared" si="0"/>
        <v>1.9002927007802053</v>
      </c>
      <c r="AM6" s="84">
        <f t="shared" si="0"/>
        <v>1.9478000182997102</v>
      </c>
      <c r="AN6" s="84">
        <f t="shared" si="0"/>
        <v>1.9964950187572028</v>
      </c>
      <c r="AO6" s="84">
        <f t="shared" si="0"/>
        <v>2.0464073942261325</v>
      </c>
      <c r="AP6" s="84">
        <f t="shared" si="0"/>
        <v>2.0975675790817858</v>
      </c>
      <c r="AQ6" s="84">
        <f t="shared" si="0"/>
        <v>2.1500067685588302</v>
      </c>
      <c r="AR6" s="84">
        <f t="shared" si="0"/>
        <v>2.2037569377728006</v>
      </c>
      <c r="AS6" s="84">
        <f t="shared" si="0"/>
        <v>2.2588508612171205</v>
      </c>
      <c r="AT6" s="84">
        <f t="shared" si="0"/>
        <v>2.3153221327475482</v>
      </c>
      <c r="AU6" s="84">
        <f t="shared" si="0"/>
        <v>2.3732051860662366</v>
      </c>
      <c r="AV6" s="84">
        <f t="shared" si="0"/>
        <v>2.4325353157178924</v>
      </c>
      <c r="AW6" s="84">
        <f t="shared" si="0"/>
        <v>2.4933486986108395</v>
      </c>
      <c r="AX6" s="84">
        <f t="shared" si="0"/>
        <v>2.5556824160761105</v>
      </c>
      <c r="AY6" s="84">
        <f t="shared" si="0"/>
        <v>2.6195744764780131</v>
      </c>
      <c r="AZ6" s="84">
        <f t="shared" si="0"/>
        <v>2.6850638383899632</v>
      </c>
      <c r="BA6" s="84">
        <f t="shared" si="0"/>
        <v>2.7521904343497119</v>
      </c>
      <c r="BB6" s="84">
        <f t="shared" si="0"/>
        <v>2.8209951952084547</v>
      </c>
      <c r="BC6" s="84">
        <f t="shared" si="0"/>
        <v>2.8915200750886658</v>
      </c>
      <c r="BD6" s="84">
        <f t="shared" si="0"/>
        <v>2.9638080769658823</v>
      </c>
      <c r="BE6" s="84">
        <f t="shared" si="0"/>
        <v>3.0379032788900293</v>
      </c>
      <c r="BF6" s="84">
        <f t="shared" si="0"/>
        <v>3.1138508608622799</v>
      </c>
      <c r="BG6" s="84">
        <f t="shared" si="0"/>
        <v>3.1916971323838368</v>
      </c>
      <c r="BH6" s="84">
        <f t="shared" si="0"/>
        <v>3.2714895606934324</v>
      </c>
      <c r="BI6" s="84">
        <f t="shared" si="0"/>
        <v>3.353276799710768</v>
      </c>
      <c r="BJ6" s="84">
        <f t="shared" si="0"/>
        <v>3.437108719703537</v>
      </c>
      <c r="BK6" s="84">
        <f t="shared" si="0"/>
        <v>3.523036437696125</v>
      </c>
      <c r="BL6" s="84">
        <f t="shared" si="0"/>
        <v>3.6111123486385277</v>
      </c>
      <c r="BM6" s="84">
        <f t="shared" si="0"/>
        <v>3.7013901573544907</v>
      </c>
      <c r="BN6" s="84">
        <f t="shared" si="0"/>
        <v>3.7939249112883529</v>
      </c>
      <c r="BO6" s="84">
        <f t="shared" si="0"/>
        <v>3.8887730340705615</v>
      </c>
      <c r="BP6" s="84">
        <f t="shared" si="0"/>
        <v>3.9859923599223253</v>
      </c>
      <c r="BQ6" s="84">
        <f t="shared" si="0"/>
        <v>4.0856421689203835</v>
      </c>
      <c r="BR6" s="84">
        <f t="shared" si="0"/>
        <v>4.1877832231433922</v>
      </c>
      <c r="BS6" s="85">
        <f t="shared" si="0"/>
        <v>4.2924778037219768</v>
      </c>
      <c r="BT6" s="32"/>
      <c r="BU6" s="32"/>
    </row>
    <row r="7" spans="1:73" ht="15" thickBot="1">
      <c r="E7" s="3"/>
      <c r="F7" s="10"/>
      <c r="G7" s="10"/>
      <c r="H7" s="10"/>
      <c r="I7" s="4"/>
      <c r="J7" s="4"/>
      <c r="K7" s="4"/>
      <c r="L7" s="332">
        <f>Assumptions!$B$18</f>
        <v>2.5000000000000001E-2</v>
      </c>
      <c r="M7" s="332">
        <f>Assumptions!$B$18</f>
        <v>2.5000000000000001E-2</v>
      </c>
      <c r="N7" s="332">
        <f>Assumptions!$B$18</f>
        <v>2.5000000000000001E-2</v>
      </c>
      <c r="O7" s="332">
        <f>Assumptions!$B$18</f>
        <v>2.5000000000000001E-2</v>
      </c>
      <c r="P7" s="332">
        <f>Assumptions!$B$18</f>
        <v>2.5000000000000001E-2</v>
      </c>
      <c r="Q7" s="332">
        <f>Assumptions!$B$18</f>
        <v>2.5000000000000001E-2</v>
      </c>
      <c r="R7" s="332">
        <f>Assumptions!$B$18</f>
        <v>2.5000000000000001E-2</v>
      </c>
      <c r="S7" s="332">
        <f>Assumptions!$B$18</f>
        <v>2.5000000000000001E-2</v>
      </c>
      <c r="T7" s="332">
        <f>Assumptions!$B$18</f>
        <v>2.5000000000000001E-2</v>
      </c>
      <c r="U7" s="332">
        <f>Assumptions!$B$18</f>
        <v>2.5000000000000001E-2</v>
      </c>
      <c r="V7" s="332">
        <f>Assumptions!$B$18</f>
        <v>2.5000000000000001E-2</v>
      </c>
      <c r="W7" s="332">
        <f>Assumptions!$B$18</f>
        <v>2.5000000000000001E-2</v>
      </c>
      <c r="X7" s="332">
        <f>Assumptions!$B$18</f>
        <v>2.5000000000000001E-2</v>
      </c>
      <c r="Y7" s="332">
        <f>Assumptions!$B$18</f>
        <v>2.5000000000000001E-2</v>
      </c>
      <c r="Z7" s="332">
        <f>Assumptions!$B$18</f>
        <v>2.5000000000000001E-2</v>
      </c>
      <c r="AA7" s="332">
        <f>Assumptions!$B$18</f>
        <v>2.5000000000000001E-2</v>
      </c>
      <c r="AB7" s="332">
        <f>Assumptions!$B$18</f>
        <v>2.5000000000000001E-2</v>
      </c>
      <c r="AC7" s="332">
        <f>Assumptions!$B$18</f>
        <v>2.5000000000000001E-2</v>
      </c>
      <c r="AD7" s="332">
        <f>Assumptions!$B$18</f>
        <v>2.5000000000000001E-2</v>
      </c>
      <c r="AE7" s="332">
        <f>Assumptions!$B$18</f>
        <v>2.5000000000000001E-2</v>
      </c>
      <c r="AF7" s="332">
        <f>Assumptions!$B$18</f>
        <v>2.5000000000000001E-2</v>
      </c>
      <c r="AG7" s="332">
        <f>Assumptions!$B$18</f>
        <v>2.5000000000000001E-2</v>
      </c>
      <c r="AH7" s="332">
        <f>Assumptions!$B$18</f>
        <v>2.5000000000000001E-2</v>
      </c>
      <c r="AI7" s="332">
        <f>Assumptions!$B$18</f>
        <v>2.5000000000000001E-2</v>
      </c>
      <c r="AJ7" s="332">
        <f>Assumptions!$B$18</f>
        <v>2.5000000000000001E-2</v>
      </c>
      <c r="AK7" s="332">
        <f>Assumptions!$B$18</f>
        <v>2.5000000000000001E-2</v>
      </c>
      <c r="AL7" s="332">
        <f>Assumptions!$B$18</f>
        <v>2.5000000000000001E-2</v>
      </c>
      <c r="AM7" s="332">
        <f>Assumptions!$B$18</f>
        <v>2.5000000000000001E-2</v>
      </c>
      <c r="AN7" s="332">
        <f>Assumptions!$B$18</f>
        <v>2.5000000000000001E-2</v>
      </c>
      <c r="AO7" s="332">
        <f>Assumptions!$B$18</f>
        <v>2.5000000000000001E-2</v>
      </c>
      <c r="AP7" s="332">
        <f>Assumptions!$B$18</f>
        <v>2.5000000000000001E-2</v>
      </c>
      <c r="AQ7" s="332">
        <f>Assumptions!$B$18</f>
        <v>2.5000000000000001E-2</v>
      </c>
      <c r="AR7" s="332">
        <f>Assumptions!$B$18</f>
        <v>2.5000000000000001E-2</v>
      </c>
      <c r="AS7" s="332">
        <f>Assumptions!$B$18</f>
        <v>2.5000000000000001E-2</v>
      </c>
      <c r="AT7" s="332">
        <f>Assumptions!$B$18</f>
        <v>2.5000000000000001E-2</v>
      </c>
      <c r="AU7" s="332">
        <f>Assumptions!$B$18</f>
        <v>2.5000000000000001E-2</v>
      </c>
      <c r="AV7" s="332">
        <f>Assumptions!$B$18</f>
        <v>2.5000000000000001E-2</v>
      </c>
      <c r="AW7" s="332">
        <f>Assumptions!$B$18</f>
        <v>2.5000000000000001E-2</v>
      </c>
      <c r="AX7" s="332">
        <f>Assumptions!$B$18</f>
        <v>2.5000000000000001E-2</v>
      </c>
      <c r="AY7" s="332">
        <f>Assumptions!$B$18</f>
        <v>2.5000000000000001E-2</v>
      </c>
      <c r="AZ7" s="332">
        <f>Assumptions!$B$18</f>
        <v>2.5000000000000001E-2</v>
      </c>
      <c r="BA7" s="332">
        <f>Assumptions!$B$18</f>
        <v>2.5000000000000001E-2</v>
      </c>
      <c r="BB7" s="332">
        <f>Assumptions!$B$18</f>
        <v>2.5000000000000001E-2</v>
      </c>
      <c r="BC7" s="332">
        <f>Assumptions!$B$18</f>
        <v>2.5000000000000001E-2</v>
      </c>
      <c r="BD7" s="332">
        <f>Assumptions!$B$18</f>
        <v>2.5000000000000001E-2</v>
      </c>
      <c r="BE7" s="332">
        <f>Assumptions!$B$18</f>
        <v>2.5000000000000001E-2</v>
      </c>
      <c r="BF7" s="332">
        <f>Assumptions!$B$18</f>
        <v>2.5000000000000001E-2</v>
      </c>
      <c r="BG7" s="332">
        <f>Assumptions!$B$18</f>
        <v>2.5000000000000001E-2</v>
      </c>
      <c r="BH7" s="332">
        <f>Assumptions!$B$18</f>
        <v>2.5000000000000001E-2</v>
      </c>
      <c r="BI7" s="332">
        <f>Assumptions!$B$18</f>
        <v>2.5000000000000001E-2</v>
      </c>
      <c r="BJ7" s="332">
        <f>Assumptions!$B$18</f>
        <v>2.5000000000000001E-2</v>
      </c>
      <c r="BK7" s="332">
        <f>Assumptions!$B$18</f>
        <v>2.5000000000000001E-2</v>
      </c>
      <c r="BL7" s="332">
        <f>Assumptions!$B$18</f>
        <v>2.5000000000000001E-2</v>
      </c>
      <c r="BM7" s="332">
        <f>Assumptions!$B$18</f>
        <v>2.5000000000000001E-2</v>
      </c>
      <c r="BN7" s="332">
        <f>Assumptions!$B$18</f>
        <v>2.5000000000000001E-2</v>
      </c>
      <c r="BO7" s="332">
        <f>Assumptions!$B$18</f>
        <v>2.5000000000000001E-2</v>
      </c>
      <c r="BP7" s="332">
        <f>Assumptions!$B$18</f>
        <v>2.5000000000000001E-2</v>
      </c>
      <c r="BQ7" s="332">
        <f>Assumptions!$B$18</f>
        <v>2.5000000000000001E-2</v>
      </c>
      <c r="BR7" s="332">
        <f>Assumptions!$B$18</f>
        <v>2.5000000000000001E-2</v>
      </c>
      <c r="BS7" s="332">
        <f>Assumptions!$B$18</f>
        <v>2.5000000000000001E-2</v>
      </c>
    </row>
    <row r="8" spans="1:73" ht="12.75" customHeight="1">
      <c r="A8" s="796" t="s">
        <v>0</v>
      </c>
      <c r="B8" s="799" t="s">
        <v>1</v>
      </c>
      <c r="C8" s="799" t="s">
        <v>2</v>
      </c>
      <c r="D8" s="799"/>
      <c r="E8" s="799"/>
      <c r="F8" s="800" t="s">
        <v>155</v>
      </c>
      <c r="G8" s="43"/>
      <c r="H8" s="43"/>
      <c r="I8" s="802" t="s">
        <v>20</v>
      </c>
      <c r="J8" s="802" t="s">
        <v>21</v>
      </c>
      <c r="K8" s="789" t="s">
        <v>27</v>
      </c>
      <c r="L8" s="86" t="s">
        <v>39</v>
      </c>
      <c r="M8" s="87"/>
      <c r="N8" s="87"/>
      <c r="O8" s="87"/>
      <c r="P8" s="87"/>
      <c r="Q8" s="87"/>
      <c r="R8" s="87"/>
      <c r="S8" s="87"/>
      <c r="T8" s="87"/>
      <c r="U8" s="87"/>
      <c r="V8" s="87"/>
      <c r="W8" s="87"/>
      <c r="X8" s="87"/>
      <c r="Y8" s="87"/>
      <c r="Z8" s="87"/>
      <c r="AA8" s="87"/>
      <c r="AB8" s="87"/>
      <c r="AC8" s="87"/>
      <c r="AD8" s="87"/>
      <c r="AE8" s="87"/>
      <c r="AF8" s="87"/>
      <c r="AG8" s="87"/>
      <c r="AH8" s="87"/>
      <c r="AI8" s="87"/>
      <c r="AJ8" s="87"/>
      <c r="AK8" s="87"/>
      <c r="AL8" s="88"/>
      <c r="AM8" s="88"/>
      <c r="AN8" s="88"/>
      <c r="AO8" s="88"/>
      <c r="AP8" s="88"/>
      <c r="AQ8" s="88"/>
      <c r="AR8" s="88"/>
      <c r="AS8" s="88"/>
      <c r="AT8" s="88"/>
      <c r="AU8" s="88"/>
      <c r="AV8" s="88"/>
      <c r="AW8" s="88"/>
      <c r="AX8" s="88"/>
      <c r="AY8" s="88"/>
      <c r="AZ8" s="88"/>
      <c r="BA8" s="88"/>
      <c r="BB8" s="88"/>
      <c r="BC8" s="88"/>
      <c r="BD8" s="88"/>
      <c r="BE8" s="88"/>
      <c r="BF8" s="88"/>
      <c r="BG8" s="88"/>
      <c r="BH8" s="88"/>
      <c r="BI8" s="88"/>
      <c r="BJ8" s="88"/>
      <c r="BK8" s="88"/>
      <c r="BL8" s="88"/>
      <c r="BM8" s="88"/>
      <c r="BN8" s="88"/>
      <c r="BO8" s="88"/>
      <c r="BP8" s="88"/>
      <c r="BQ8" s="88"/>
      <c r="BR8" s="88"/>
      <c r="BS8" s="88"/>
      <c r="BT8" s="35"/>
    </row>
    <row r="9" spans="1:73" ht="52.5" customHeight="1">
      <c r="A9" s="797"/>
      <c r="B9" s="791"/>
      <c r="C9" s="791" t="s">
        <v>4</v>
      </c>
      <c r="D9" s="791" t="s">
        <v>5</v>
      </c>
      <c r="E9" s="791" t="s">
        <v>3</v>
      </c>
      <c r="F9" s="801"/>
      <c r="G9" s="44" t="s">
        <v>111</v>
      </c>
      <c r="H9" s="44" t="s">
        <v>41</v>
      </c>
      <c r="I9" s="803"/>
      <c r="J9" s="803"/>
      <c r="K9" s="790"/>
      <c r="L9" s="36">
        <v>0</v>
      </c>
      <c r="M9" s="36">
        <v>1</v>
      </c>
      <c r="N9" s="36">
        <f t="shared" ref="N9:BS9" si="1">+M9+1</f>
        <v>2</v>
      </c>
      <c r="O9" s="36">
        <f t="shared" si="1"/>
        <v>3</v>
      </c>
      <c r="P9" s="36">
        <f t="shared" si="1"/>
        <v>4</v>
      </c>
      <c r="Q9" s="36">
        <f t="shared" si="1"/>
        <v>5</v>
      </c>
      <c r="R9" s="36">
        <f t="shared" si="1"/>
        <v>6</v>
      </c>
      <c r="S9" s="36">
        <f t="shared" si="1"/>
        <v>7</v>
      </c>
      <c r="T9" s="36">
        <f t="shared" si="1"/>
        <v>8</v>
      </c>
      <c r="U9" s="36">
        <f t="shared" si="1"/>
        <v>9</v>
      </c>
      <c r="V9" s="36">
        <f t="shared" si="1"/>
        <v>10</v>
      </c>
      <c r="W9" s="36">
        <f t="shared" si="1"/>
        <v>11</v>
      </c>
      <c r="X9" s="36">
        <f t="shared" si="1"/>
        <v>12</v>
      </c>
      <c r="Y9" s="36">
        <f t="shared" si="1"/>
        <v>13</v>
      </c>
      <c r="Z9" s="36">
        <f t="shared" si="1"/>
        <v>14</v>
      </c>
      <c r="AA9" s="36">
        <f t="shared" si="1"/>
        <v>15</v>
      </c>
      <c r="AB9" s="36">
        <f t="shared" si="1"/>
        <v>16</v>
      </c>
      <c r="AC9" s="36">
        <f t="shared" si="1"/>
        <v>17</v>
      </c>
      <c r="AD9" s="36">
        <f t="shared" si="1"/>
        <v>18</v>
      </c>
      <c r="AE9" s="36">
        <f t="shared" si="1"/>
        <v>19</v>
      </c>
      <c r="AF9" s="36">
        <f t="shared" si="1"/>
        <v>20</v>
      </c>
      <c r="AG9" s="36">
        <f t="shared" si="1"/>
        <v>21</v>
      </c>
      <c r="AH9" s="36">
        <f t="shared" si="1"/>
        <v>22</v>
      </c>
      <c r="AI9" s="36">
        <f t="shared" si="1"/>
        <v>23</v>
      </c>
      <c r="AJ9" s="36">
        <f t="shared" si="1"/>
        <v>24</v>
      </c>
      <c r="AK9" s="36">
        <f t="shared" si="1"/>
        <v>25</v>
      </c>
      <c r="AL9" s="36">
        <f t="shared" si="1"/>
        <v>26</v>
      </c>
      <c r="AM9" s="36">
        <f t="shared" si="1"/>
        <v>27</v>
      </c>
      <c r="AN9" s="36">
        <f t="shared" si="1"/>
        <v>28</v>
      </c>
      <c r="AO9" s="36">
        <f t="shared" si="1"/>
        <v>29</v>
      </c>
      <c r="AP9" s="36">
        <f t="shared" si="1"/>
        <v>30</v>
      </c>
      <c r="AQ9" s="36">
        <f t="shared" si="1"/>
        <v>31</v>
      </c>
      <c r="AR9" s="36">
        <f t="shared" si="1"/>
        <v>32</v>
      </c>
      <c r="AS9" s="36">
        <f t="shared" si="1"/>
        <v>33</v>
      </c>
      <c r="AT9" s="36">
        <f t="shared" si="1"/>
        <v>34</v>
      </c>
      <c r="AU9" s="36">
        <f t="shared" si="1"/>
        <v>35</v>
      </c>
      <c r="AV9" s="36">
        <f t="shared" si="1"/>
        <v>36</v>
      </c>
      <c r="AW9" s="36">
        <f t="shared" si="1"/>
        <v>37</v>
      </c>
      <c r="AX9" s="36">
        <f t="shared" si="1"/>
        <v>38</v>
      </c>
      <c r="AY9" s="36">
        <f t="shared" si="1"/>
        <v>39</v>
      </c>
      <c r="AZ9" s="36">
        <f t="shared" si="1"/>
        <v>40</v>
      </c>
      <c r="BA9" s="36">
        <f t="shared" si="1"/>
        <v>41</v>
      </c>
      <c r="BB9" s="36">
        <f t="shared" si="1"/>
        <v>42</v>
      </c>
      <c r="BC9" s="36">
        <f t="shared" si="1"/>
        <v>43</v>
      </c>
      <c r="BD9" s="36">
        <f t="shared" si="1"/>
        <v>44</v>
      </c>
      <c r="BE9" s="36">
        <f t="shared" si="1"/>
        <v>45</v>
      </c>
      <c r="BF9" s="36">
        <f t="shared" si="1"/>
        <v>46</v>
      </c>
      <c r="BG9" s="36">
        <f t="shared" si="1"/>
        <v>47</v>
      </c>
      <c r="BH9" s="36">
        <f t="shared" si="1"/>
        <v>48</v>
      </c>
      <c r="BI9" s="36">
        <f t="shared" si="1"/>
        <v>49</v>
      </c>
      <c r="BJ9" s="36">
        <f t="shared" si="1"/>
        <v>50</v>
      </c>
      <c r="BK9" s="36">
        <f t="shared" si="1"/>
        <v>51</v>
      </c>
      <c r="BL9" s="36">
        <f t="shared" si="1"/>
        <v>52</v>
      </c>
      <c r="BM9" s="36">
        <f t="shared" si="1"/>
        <v>53</v>
      </c>
      <c r="BN9" s="36">
        <f t="shared" si="1"/>
        <v>54</v>
      </c>
      <c r="BO9" s="36">
        <f t="shared" si="1"/>
        <v>55</v>
      </c>
      <c r="BP9" s="36">
        <f t="shared" si="1"/>
        <v>56</v>
      </c>
      <c r="BQ9" s="36">
        <f t="shared" si="1"/>
        <v>57</v>
      </c>
      <c r="BR9" s="36">
        <f t="shared" si="1"/>
        <v>58</v>
      </c>
      <c r="BS9" s="36">
        <f t="shared" si="1"/>
        <v>59</v>
      </c>
      <c r="BT9" s="37"/>
    </row>
    <row r="10" spans="1:73" ht="14.55" customHeight="1" thickBot="1">
      <c r="A10" s="798"/>
      <c r="B10" s="792"/>
      <c r="C10" s="792"/>
      <c r="D10" s="792"/>
      <c r="E10" s="792"/>
      <c r="F10" s="28" t="str">
        <f>CONCATENATE("(",$B$5,")")</f>
        <v>(2026 $s)</v>
      </c>
      <c r="G10" s="28" t="str">
        <f>CONCATENATE("(",$B$5,")")</f>
        <v>(2026 $s)</v>
      </c>
      <c r="H10" s="28" t="str">
        <f>CONCATENATE("(",$B$5,")")</f>
        <v>(2026 $s)</v>
      </c>
      <c r="I10" s="804"/>
      <c r="J10" s="804"/>
      <c r="K10" s="33" t="str">
        <f>CONCATENATE("(",B5,")")</f>
        <v>(2026 $s)</v>
      </c>
      <c r="L10" s="5">
        <f>Assumptions!B3</f>
        <v>2026</v>
      </c>
      <c r="M10" s="5">
        <f t="shared" ref="M10:BS10" si="2">L10+1</f>
        <v>2027</v>
      </c>
      <c r="N10" s="5">
        <f t="shared" si="2"/>
        <v>2028</v>
      </c>
      <c r="O10" s="5">
        <f t="shared" si="2"/>
        <v>2029</v>
      </c>
      <c r="P10" s="5">
        <f t="shared" si="2"/>
        <v>2030</v>
      </c>
      <c r="Q10" s="5">
        <f t="shared" si="2"/>
        <v>2031</v>
      </c>
      <c r="R10" s="5">
        <f t="shared" si="2"/>
        <v>2032</v>
      </c>
      <c r="S10" s="5">
        <f t="shared" si="2"/>
        <v>2033</v>
      </c>
      <c r="T10" s="5">
        <f t="shared" si="2"/>
        <v>2034</v>
      </c>
      <c r="U10" s="5">
        <f t="shared" si="2"/>
        <v>2035</v>
      </c>
      <c r="V10" s="5">
        <f t="shared" si="2"/>
        <v>2036</v>
      </c>
      <c r="W10" s="5">
        <f t="shared" si="2"/>
        <v>2037</v>
      </c>
      <c r="X10" s="5">
        <f t="shared" si="2"/>
        <v>2038</v>
      </c>
      <c r="Y10" s="5">
        <f t="shared" si="2"/>
        <v>2039</v>
      </c>
      <c r="Z10" s="5">
        <f t="shared" si="2"/>
        <v>2040</v>
      </c>
      <c r="AA10" s="5">
        <f t="shared" si="2"/>
        <v>2041</v>
      </c>
      <c r="AB10" s="5">
        <f t="shared" si="2"/>
        <v>2042</v>
      </c>
      <c r="AC10" s="5">
        <f t="shared" si="2"/>
        <v>2043</v>
      </c>
      <c r="AD10" s="5">
        <f t="shared" si="2"/>
        <v>2044</v>
      </c>
      <c r="AE10" s="5">
        <f t="shared" si="2"/>
        <v>2045</v>
      </c>
      <c r="AF10" s="5">
        <f t="shared" si="2"/>
        <v>2046</v>
      </c>
      <c r="AG10" s="5">
        <f t="shared" si="2"/>
        <v>2047</v>
      </c>
      <c r="AH10" s="5">
        <f t="shared" si="2"/>
        <v>2048</v>
      </c>
      <c r="AI10" s="5">
        <f t="shared" si="2"/>
        <v>2049</v>
      </c>
      <c r="AJ10" s="5">
        <f t="shared" si="2"/>
        <v>2050</v>
      </c>
      <c r="AK10" s="5">
        <f t="shared" si="2"/>
        <v>2051</v>
      </c>
      <c r="AL10" s="5">
        <f t="shared" si="2"/>
        <v>2052</v>
      </c>
      <c r="AM10" s="5">
        <f t="shared" si="2"/>
        <v>2053</v>
      </c>
      <c r="AN10" s="5">
        <f t="shared" si="2"/>
        <v>2054</v>
      </c>
      <c r="AO10" s="5">
        <f t="shared" si="2"/>
        <v>2055</v>
      </c>
      <c r="AP10" s="5">
        <f t="shared" si="2"/>
        <v>2056</v>
      </c>
      <c r="AQ10" s="5">
        <f t="shared" si="2"/>
        <v>2057</v>
      </c>
      <c r="AR10" s="5">
        <f t="shared" si="2"/>
        <v>2058</v>
      </c>
      <c r="AS10" s="5">
        <f t="shared" si="2"/>
        <v>2059</v>
      </c>
      <c r="AT10" s="5">
        <f t="shared" si="2"/>
        <v>2060</v>
      </c>
      <c r="AU10" s="5">
        <f t="shared" si="2"/>
        <v>2061</v>
      </c>
      <c r="AV10" s="5">
        <f t="shared" si="2"/>
        <v>2062</v>
      </c>
      <c r="AW10" s="5">
        <f t="shared" si="2"/>
        <v>2063</v>
      </c>
      <c r="AX10" s="5">
        <f t="shared" si="2"/>
        <v>2064</v>
      </c>
      <c r="AY10" s="5">
        <f t="shared" si="2"/>
        <v>2065</v>
      </c>
      <c r="AZ10" s="5">
        <f t="shared" si="2"/>
        <v>2066</v>
      </c>
      <c r="BA10" s="5">
        <f t="shared" si="2"/>
        <v>2067</v>
      </c>
      <c r="BB10" s="5">
        <f t="shared" si="2"/>
        <v>2068</v>
      </c>
      <c r="BC10" s="5">
        <f t="shared" si="2"/>
        <v>2069</v>
      </c>
      <c r="BD10" s="5">
        <f t="shared" si="2"/>
        <v>2070</v>
      </c>
      <c r="BE10" s="5">
        <f t="shared" si="2"/>
        <v>2071</v>
      </c>
      <c r="BF10" s="5">
        <f t="shared" si="2"/>
        <v>2072</v>
      </c>
      <c r="BG10" s="5">
        <f t="shared" si="2"/>
        <v>2073</v>
      </c>
      <c r="BH10" s="5">
        <f t="shared" si="2"/>
        <v>2074</v>
      </c>
      <c r="BI10" s="5">
        <f t="shared" si="2"/>
        <v>2075</v>
      </c>
      <c r="BJ10" s="5">
        <f t="shared" si="2"/>
        <v>2076</v>
      </c>
      <c r="BK10" s="5">
        <f t="shared" si="2"/>
        <v>2077</v>
      </c>
      <c r="BL10" s="5">
        <f t="shared" si="2"/>
        <v>2078</v>
      </c>
      <c r="BM10" s="5">
        <f t="shared" si="2"/>
        <v>2079</v>
      </c>
      <c r="BN10" s="5">
        <f t="shared" si="2"/>
        <v>2080</v>
      </c>
      <c r="BO10" s="5">
        <f t="shared" si="2"/>
        <v>2081</v>
      </c>
      <c r="BP10" s="5">
        <f t="shared" si="2"/>
        <v>2082</v>
      </c>
      <c r="BQ10" s="5">
        <f t="shared" si="2"/>
        <v>2083</v>
      </c>
      <c r="BR10" s="5">
        <f t="shared" si="2"/>
        <v>2084</v>
      </c>
      <c r="BS10" s="5">
        <f t="shared" si="2"/>
        <v>2085</v>
      </c>
      <c r="BT10" s="38" t="s">
        <v>6</v>
      </c>
    </row>
    <row r="11" spans="1:73" ht="13.5" customHeight="1">
      <c r="A11" s="8" t="s">
        <v>13</v>
      </c>
      <c r="B11" s="9" t="s">
        <v>12</v>
      </c>
      <c r="C11" s="9" t="s">
        <v>112</v>
      </c>
      <c r="D11" s="9" t="s">
        <v>113</v>
      </c>
      <c r="E11" s="9" t="s">
        <v>15</v>
      </c>
      <c r="F11" s="11" t="s">
        <v>14</v>
      </c>
      <c r="G11" s="11" t="s">
        <v>16</v>
      </c>
      <c r="H11" s="11" t="s">
        <v>17</v>
      </c>
      <c r="I11" s="11" t="s">
        <v>18</v>
      </c>
      <c r="J11" s="11" t="s">
        <v>19</v>
      </c>
      <c r="K11" s="34" t="s">
        <v>114</v>
      </c>
      <c r="L11" s="49"/>
      <c r="M11" s="49"/>
      <c r="N11" s="40" t="str">
        <f t="shared" ref="N11" si="3">IF(AND(N$10=$C11,N$10=$D11),(($K11/$E11)*N$6),IF(AND(N$10&gt;=$C11,N$10&lt;=$D11),(($K11/$E11)*N$6),""))</f>
        <v/>
      </c>
      <c r="O11" s="49"/>
      <c r="P11" s="49"/>
      <c r="Q11" s="49"/>
      <c r="R11" s="49"/>
      <c r="S11" s="49"/>
      <c r="T11" s="49"/>
      <c r="U11" s="49"/>
      <c r="V11" s="49"/>
      <c r="W11" s="49"/>
      <c r="X11" s="49"/>
      <c r="Y11" s="49"/>
      <c r="Z11" s="49"/>
      <c r="AA11" s="49"/>
      <c r="AB11" s="49"/>
      <c r="AC11" s="49"/>
      <c r="AD11" s="49"/>
      <c r="AE11" s="50"/>
      <c r="AF11" s="51"/>
      <c r="AG11" s="51"/>
      <c r="AH11" s="51"/>
      <c r="AI11" s="51"/>
      <c r="AJ11" s="51"/>
      <c r="AK11" s="51"/>
      <c r="AL11" s="51"/>
      <c r="AM11" s="51"/>
      <c r="AN11" s="51"/>
      <c r="AO11" s="51"/>
      <c r="AP11" s="51"/>
      <c r="AQ11" s="51"/>
      <c r="AR11" s="51"/>
      <c r="AS11" s="51"/>
      <c r="AT11" s="51"/>
      <c r="AU11" s="51"/>
      <c r="AV11" s="51"/>
      <c r="AW11" s="51"/>
      <c r="AX11" s="51"/>
      <c r="AY11" s="51"/>
      <c r="AZ11" s="51"/>
      <c r="BA11" s="51"/>
      <c r="BB11" s="51"/>
      <c r="BC11" s="51"/>
      <c r="BD11" s="51"/>
      <c r="BE11" s="51"/>
      <c r="BF11" s="51"/>
      <c r="BG11" s="51"/>
      <c r="BH11" s="51"/>
      <c r="BI11" s="51"/>
      <c r="BJ11" s="51"/>
      <c r="BK11" s="51"/>
      <c r="BL11" s="51"/>
      <c r="BM11" s="51"/>
      <c r="BN11" s="51"/>
      <c r="BO11" s="51"/>
      <c r="BP11" s="51"/>
      <c r="BQ11" s="51"/>
      <c r="BR11" s="51"/>
      <c r="BS11" s="51"/>
      <c r="BT11" s="39"/>
    </row>
    <row r="12" spans="1:73" ht="13.5" customHeight="1">
      <c r="A12" s="335" t="str">
        <f>'S-Collection'!B20</f>
        <v>43C</v>
      </c>
      <c r="B12" s="190" t="str">
        <f>INDEX('S-Collection'!$C$6:$C$41,MATCH(Table195781011121314236172728151617187[[#This Row],[a]],'S-Collection'!$B$6:$B$41,0))</f>
        <v>1050 mm (Crystal Green Lane to 610m into undeveloped land)</v>
      </c>
      <c r="C12" s="98">
        <f>INDEX('S-Collection'!$F$6:$F$41,MATCH(Table195781011121314236172728151617187[[#This Row],[a]],'S-Collection'!$B$6:$B$41,0))</f>
        <v>2026</v>
      </c>
      <c r="D12" s="98">
        <f>INDEX('S-Collection'!$G$6:$G$41,MATCH(Table195781011121314236172728151617187[[#This Row],[a]],'S-Collection'!$B$6:$B$41,0))</f>
        <v>2027</v>
      </c>
      <c r="E12" s="99">
        <f>(D12-C12)+1</f>
        <v>2</v>
      </c>
      <c r="F12" s="123">
        <f>INDEX('S-Collection'!$P$6:$P$41,MATCH(Table195781011121314236172728151617187[[#This Row],[a]],'S-Collection'!$B$6:$B$41,0))</f>
        <v>569740</v>
      </c>
      <c r="G12" s="100"/>
      <c r="H12" s="101">
        <f>+Table195781011121314236172728151617187[[#This Row],[f]]-Table195781011121314236172728151617187[[#This Row],[g]]</f>
        <v>569740</v>
      </c>
      <c r="I12" s="108"/>
      <c r="J12" s="102"/>
      <c r="K12" s="103">
        <f>(Table195781011121314236172728151617187[[#This Row],[h]])</f>
        <v>569740</v>
      </c>
      <c r="L12" s="40">
        <f t="shared" ref="L12:AA26" si="4">IF(AND(L$10=$C12,L$10=$D12),(($K12/$E12)*L$6),IF(AND(L$10&gt;=$C12,L$10&lt;=$D12),(($K12/$E12)*L$6),""))</f>
        <v>284870</v>
      </c>
      <c r="M12" s="40">
        <f t="shared" si="4"/>
        <v>291991.75</v>
      </c>
      <c r="N12" s="40" t="str">
        <f t="shared" si="4"/>
        <v/>
      </c>
      <c r="O12" s="40" t="str">
        <f t="shared" si="4"/>
        <v/>
      </c>
      <c r="P12" s="40" t="str">
        <f t="shared" si="4"/>
        <v/>
      </c>
      <c r="Q12" s="40" t="str">
        <f t="shared" si="4"/>
        <v/>
      </c>
      <c r="R12" s="40" t="str">
        <f t="shared" si="4"/>
        <v/>
      </c>
      <c r="S12" s="40" t="str">
        <f t="shared" si="4"/>
        <v/>
      </c>
      <c r="T12" s="40" t="str">
        <f t="shared" si="4"/>
        <v/>
      </c>
      <c r="U12" s="40" t="str">
        <f t="shared" si="4"/>
        <v/>
      </c>
      <c r="V12" s="40" t="str">
        <f t="shared" si="4"/>
        <v/>
      </c>
      <c r="W12" s="40" t="str">
        <f t="shared" si="4"/>
        <v/>
      </c>
      <c r="X12" s="40" t="str">
        <f t="shared" si="4"/>
        <v/>
      </c>
      <c r="Y12" s="40" t="str">
        <f t="shared" si="4"/>
        <v/>
      </c>
      <c r="Z12" s="40" t="str">
        <f t="shared" si="4"/>
        <v/>
      </c>
      <c r="AA12" s="40" t="str">
        <f t="shared" si="4"/>
        <v/>
      </c>
      <c r="AB12" s="40" t="str">
        <f t="shared" ref="AB12:AQ26" si="5">IF(AND(AB$10=$C12,AB$10=$D12),(($K12/$E12)*AB$6),IF(AND(AB$10&gt;=$C12,AB$10&lt;=$D12),(($K12/$E12)*AB$6),""))</f>
        <v/>
      </c>
      <c r="AC12" s="40" t="str">
        <f t="shared" si="5"/>
        <v/>
      </c>
      <c r="AD12" s="40" t="str">
        <f t="shared" si="5"/>
        <v/>
      </c>
      <c r="AE12" s="40" t="str">
        <f t="shared" si="5"/>
        <v/>
      </c>
      <c r="AF12" s="40" t="str">
        <f t="shared" si="5"/>
        <v/>
      </c>
      <c r="AG12" s="40" t="str">
        <f t="shared" si="5"/>
        <v/>
      </c>
      <c r="AH12" s="40" t="str">
        <f t="shared" si="5"/>
        <v/>
      </c>
      <c r="AI12" s="40" t="str">
        <f t="shared" si="5"/>
        <v/>
      </c>
      <c r="AJ12" s="40" t="str">
        <f t="shared" si="5"/>
        <v/>
      </c>
      <c r="AK12" s="40" t="str">
        <f t="shared" si="5"/>
        <v/>
      </c>
      <c r="AL12" s="40" t="str">
        <f t="shared" si="5"/>
        <v/>
      </c>
      <c r="AM12" s="40" t="str">
        <f t="shared" si="5"/>
        <v/>
      </c>
      <c r="AN12" s="40" t="str">
        <f t="shared" si="5"/>
        <v/>
      </c>
      <c r="AO12" s="40" t="str">
        <f t="shared" si="5"/>
        <v/>
      </c>
      <c r="AP12" s="40" t="str">
        <f t="shared" si="5"/>
        <v/>
      </c>
      <c r="AQ12" s="40" t="str">
        <f t="shared" si="5"/>
        <v/>
      </c>
      <c r="AR12" s="40" t="str">
        <f t="shared" ref="AR12:BG26" si="6">IF(AND(AR$10=$C12,AR$10=$D12),(($K12/$E12)*AR$6),IF(AND(AR$10&gt;=$C12,AR$10&lt;=$D12),(($K12/$E12)*AR$6),""))</f>
        <v/>
      </c>
      <c r="AS12" s="40" t="str">
        <f t="shared" si="6"/>
        <v/>
      </c>
      <c r="AT12" s="40" t="str">
        <f t="shared" si="6"/>
        <v/>
      </c>
      <c r="AU12" s="40" t="str">
        <f t="shared" si="6"/>
        <v/>
      </c>
      <c r="AV12" s="40" t="str">
        <f t="shared" si="6"/>
        <v/>
      </c>
      <c r="AW12" s="40" t="str">
        <f t="shared" si="6"/>
        <v/>
      </c>
      <c r="AX12" s="40" t="str">
        <f t="shared" si="6"/>
        <v/>
      </c>
      <c r="AY12" s="40" t="str">
        <f t="shared" si="6"/>
        <v/>
      </c>
      <c r="AZ12" s="40" t="str">
        <f t="shared" si="6"/>
        <v/>
      </c>
      <c r="BA12" s="40" t="str">
        <f t="shared" si="6"/>
        <v/>
      </c>
      <c r="BB12" s="40" t="str">
        <f t="shared" si="6"/>
        <v/>
      </c>
      <c r="BC12" s="40" t="str">
        <f t="shared" si="6"/>
        <v/>
      </c>
      <c r="BD12" s="40" t="str">
        <f t="shared" si="6"/>
        <v/>
      </c>
      <c r="BE12" s="40" t="str">
        <f t="shared" si="6"/>
        <v/>
      </c>
      <c r="BF12" s="40" t="str">
        <f t="shared" si="6"/>
        <v/>
      </c>
      <c r="BG12" s="40" t="str">
        <f t="shared" si="6"/>
        <v/>
      </c>
      <c r="BH12" s="40" t="str">
        <f t="shared" ref="BH12:BS27" si="7">IF(AND(BH$10=$C12,BH$10=$D12),(($K12/$E12)*BH$6),IF(AND(BH$10&gt;=$C12,BH$10&lt;=$D12),(($K12/$E12)*BH$6),""))</f>
        <v/>
      </c>
      <c r="BI12" s="40" t="str">
        <f t="shared" si="7"/>
        <v/>
      </c>
      <c r="BJ12" s="40" t="str">
        <f t="shared" si="7"/>
        <v/>
      </c>
      <c r="BK12" s="40" t="str">
        <f t="shared" si="7"/>
        <v/>
      </c>
      <c r="BL12" s="40" t="str">
        <f t="shared" si="7"/>
        <v/>
      </c>
      <c r="BM12" s="40" t="str">
        <f t="shared" si="7"/>
        <v/>
      </c>
      <c r="BN12" s="40" t="str">
        <f t="shared" si="7"/>
        <v/>
      </c>
      <c r="BO12" s="40" t="str">
        <f t="shared" si="7"/>
        <v/>
      </c>
      <c r="BP12" s="40" t="str">
        <f t="shared" si="7"/>
        <v/>
      </c>
      <c r="BQ12" s="40" t="str">
        <f t="shared" si="7"/>
        <v/>
      </c>
      <c r="BR12" s="40" t="str">
        <f t="shared" si="7"/>
        <v/>
      </c>
      <c r="BS12" s="40" t="str">
        <f t="shared" si="7"/>
        <v/>
      </c>
      <c r="BT12" s="41">
        <f>SUM(L12:BS12)</f>
        <v>576861.75</v>
      </c>
    </row>
    <row r="13" spans="1:73" ht="13.5" customHeight="1">
      <c r="A13" s="200">
        <f>'S-Collection'!B21</f>
        <v>47</v>
      </c>
      <c r="B13" s="191" t="str">
        <f>INDEX('S-Collection'!$C$6:$C$41,MATCH(Table195781011121314236172728151617187[[#This Row],[a]],'S-Collection'!$B$6:$B$41,0))</f>
        <v>375 mm Forcemain</v>
      </c>
      <c r="C13" s="129">
        <f>INDEX('S-Collection'!$F$6:$F$41,MATCH(Table195781011121314236172728151617187[[#This Row],[a]],'S-Collection'!$B$6:$B$41,0))</f>
        <v>2031</v>
      </c>
      <c r="D13" s="129">
        <f>INDEX('S-Collection'!$G$6:$G$41,MATCH(Table195781011121314236172728151617187[[#This Row],[a]],'S-Collection'!$B$6:$B$41,0))</f>
        <v>2032</v>
      </c>
      <c r="E13" s="130">
        <f t="shared" ref="E13:E17" si="8">(D13-C13)+1</f>
        <v>2</v>
      </c>
      <c r="F13" s="124">
        <f>INDEX('S-Collection'!$P$6:$P$41,MATCH(Table195781011121314236172728151617187[[#This Row],[a]],'S-Collection'!$B$6:$B$41,0))</f>
        <v>1879935.3749999995</v>
      </c>
      <c r="G13" s="100"/>
      <c r="H13" s="104">
        <f>+Table195781011121314236172728151617187[[#This Row],[f]]-Table195781011121314236172728151617187[[#This Row],[g]]</f>
        <v>1879935.3749999995</v>
      </c>
      <c r="I13" s="110"/>
      <c r="J13" s="102"/>
      <c r="K13" s="105">
        <f>(Table195781011121314236172728151617187[[#This Row],[h]])</f>
        <v>1879935.3749999995</v>
      </c>
      <c r="L13" s="40" t="str">
        <f t="shared" si="4"/>
        <v/>
      </c>
      <c r="M13" s="40" t="str">
        <f t="shared" si="4"/>
        <v/>
      </c>
      <c r="N13" s="40" t="str">
        <f t="shared" si="4"/>
        <v/>
      </c>
      <c r="O13" s="40" t="str">
        <f t="shared" si="4"/>
        <v/>
      </c>
      <c r="P13" s="40" t="str">
        <f t="shared" si="4"/>
        <v/>
      </c>
      <c r="Q13" s="40">
        <f t="shared" si="4"/>
        <v>1063487.1614893079</v>
      </c>
      <c r="R13" s="40">
        <f t="shared" si="4"/>
        <v>1090074.3405265405</v>
      </c>
      <c r="S13" s="40" t="str">
        <f t="shared" si="4"/>
        <v/>
      </c>
      <c r="T13" s="40" t="str">
        <f t="shared" si="4"/>
        <v/>
      </c>
      <c r="U13" s="40" t="str">
        <f t="shared" si="4"/>
        <v/>
      </c>
      <c r="V13" s="40" t="str">
        <f t="shared" si="4"/>
        <v/>
      </c>
      <c r="W13" s="40" t="str">
        <f t="shared" si="4"/>
        <v/>
      </c>
      <c r="X13" s="40" t="str">
        <f t="shared" si="4"/>
        <v/>
      </c>
      <c r="Y13" s="40" t="str">
        <f t="shared" si="4"/>
        <v/>
      </c>
      <c r="Z13" s="40" t="str">
        <f t="shared" si="4"/>
        <v/>
      </c>
      <c r="AA13" s="40" t="str">
        <f t="shared" si="4"/>
        <v/>
      </c>
      <c r="AB13" s="40" t="str">
        <f t="shared" si="5"/>
        <v/>
      </c>
      <c r="AC13" s="40" t="str">
        <f t="shared" si="5"/>
        <v/>
      </c>
      <c r="AD13" s="40" t="str">
        <f t="shared" si="5"/>
        <v/>
      </c>
      <c r="AE13" s="40" t="str">
        <f t="shared" si="5"/>
        <v/>
      </c>
      <c r="AF13" s="40" t="str">
        <f t="shared" si="5"/>
        <v/>
      </c>
      <c r="AG13" s="40" t="str">
        <f t="shared" si="5"/>
        <v/>
      </c>
      <c r="AH13" s="40" t="str">
        <f t="shared" si="5"/>
        <v/>
      </c>
      <c r="AI13" s="40" t="str">
        <f t="shared" si="5"/>
        <v/>
      </c>
      <c r="AJ13" s="40" t="str">
        <f t="shared" si="5"/>
        <v/>
      </c>
      <c r="AK13" s="40" t="str">
        <f t="shared" si="5"/>
        <v/>
      </c>
      <c r="AL13" s="40" t="str">
        <f t="shared" si="5"/>
        <v/>
      </c>
      <c r="AM13" s="40" t="str">
        <f t="shared" si="5"/>
        <v/>
      </c>
      <c r="AN13" s="40" t="str">
        <f t="shared" si="5"/>
        <v/>
      </c>
      <c r="AO13" s="40" t="str">
        <f t="shared" si="5"/>
        <v/>
      </c>
      <c r="AP13" s="40" t="str">
        <f t="shared" si="5"/>
        <v/>
      </c>
      <c r="AQ13" s="40" t="str">
        <f t="shared" si="5"/>
        <v/>
      </c>
      <c r="AR13" s="40" t="str">
        <f t="shared" si="6"/>
        <v/>
      </c>
      <c r="AS13" s="40" t="str">
        <f t="shared" si="6"/>
        <v/>
      </c>
      <c r="AT13" s="40" t="str">
        <f t="shared" si="6"/>
        <v/>
      </c>
      <c r="AU13" s="40" t="str">
        <f t="shared" si="6"/>
        <v/>
      </c>
      <c r="AV13" s="40" t="str">
        <f t="shared" si="6"/>
        <v/>
      </c>
      <c r="AW13" s="40" t="str">
        <f t="shared" si="6"/>
        <v/>
      </c>
      <c r="AX13" s="40" t="str">
        <f t="shared" si="6"/>
        <v/>
      </c>
      <c r="AY13" s="40" t="str">
        <f t="shared" si="6"/>
        <v/>
      </c>
      <c r="AZ13" s="40" t="str">
        <f t="shared" si="6"/>
        <v/>
      </c>
      <c r="BA13" s="40" t="str">
        <f t="shared" si="6"/>
        <v/>
      </c>
      <c r="BB13" s="40" t="str">
        <f t="shared" si="6"/>
        <v/>
      </c>
      <c r="BC13" s="40" t="str">
        <f t="shared" si="6"/>
        <v/>
      </c>
      <c r="BD13" s="40" t="str">
        <f t="shared" si="6"/>
        <v/>
      </c>
      <c r="BE13" s="40" t="str">
        <f t="shared" si="6"/>
        <v/>
      </c>
      <c r="BF13" s="40" t="str">
        <f t="shared" si="6"/>
        <v/>
      </c>
      <c r="BG13" s="40" t="str">
        <f t="shared" si="6"/>
        <v/>
      </c>
      <c r="BH13" s="40" t="str">
        <f t="shared" si="7"/>
        <v/>
      </c>
      <c r="BI13" s="40" t="str">
        <f t="shared" si="7"/>
        <v/>
      </c>
      <c r="BJ13" s="40" t="str">
        <f t="shared" si="7"/>
        <v/>
      </c>
      <c r="BK13" s="40" t="str">
        <f t="shared" si="7"/>
        <v/>
      </c>
      <c r="BL13" s="40" t="str">
        <f t="shared" si="7"/>
        <v/>
      </c>
      <c r="BM13" s="40" t="str">
        <f t="shared" si="7"/>
        <v/>
      </c>
      <c r="BN13" s="40" t="str">
        <f t="shared" si="7"/>
        <v/>
      </c>
      <c r="BO13" s="40" t="str">
        <f t="shared" si="7"/>
        <v/>
      </c>
      <c r="BP13" s="40" t="str">
        <f t="shared" si="7"/>
        <v/>
      </c>
      <c r="BQ13" s="40" t="str">
        <f t="shared" si="7"/>
        <v/>
      </c>
      <c r="BR13" s="40" t="str">
        <f t="shared" si="7"/>
        <v/>
      </c>
      <c r="BS13" s="40" t="str">
        <f t="shared" si="7"/>
        <v/>
      </c>
      <c r="BT13" s="41">
        <f>SUM(L13:BS13)</f>
        <v>2153561.5020158486</v>
      </c>
    </row>
    <row r="14" spans="1:73" ht="13.5" customHeight="1">
      <c r="A14" s="335">
        <f>'S-Collection'!B22</f>
        <v>48</v>
      </c>
      <c r="B14" s="190" t="str">
        <f>INDEX('S-Collection'!$C$6:$C$41,MATCH(Table195781011121314236172728151617187[[#This Row],[a]],'S-Collection'!$B$6:$B$41,0))</f>
        <v>900 mm Gravity Sewer</v>
      </c>
      <c r="C14" s="98">
        <f>INDEX('S-Collection'!$F$6:$F$41,MATCH(Table195781011121314236172728151617187[[#This Row],[a]],'S-Collection'!$B$6:$B$41,0))</f>
        <v>2027</v>
      </c>
      <c r="D14" s="98">
        <f>INDEX('S-Collection'!$G$6:$G$41,MATCH(Table195781011121314236172728151617187[[#This Row],[a]],'S-Collection'!$B$6:$B$41,0))</f>
        <v>2028</v>
      </c>
      <c r="E14" s="99">
        <f t="shared" si="8"/>
        <v>2</v>
      </c>
      <c r="F14" s="123">
        <f>INDEX('S-Collection'!$P$6:$P$41,MATCH(Table195781011121314236172728151617187[[#This Row],[a]],'S-Collection'!$B$6:$B$41,0))</f>
        <v>194578</v>
      </c>
      <c r="G14" s="100"/>
      <c r="H14" s="101">
        <f>+Table195781011121314236172728151617187[[#This Row],[f]]-Table195781011121314236172728151617187[[#This Row],[g]]</f>
        <v>194578</v>
      </c>
      <c r="I14" s="108"/>
      <c r="J14" s="102"/>
      <c r="K14" s="103">
        <f>(Table195781011121314236172728151617187[[#This Row],[h]])</f>
        <v>194578</v>
      </c>
      <c r="L14" s="40" t="str">
        <f t="shared" si="4"/>
        <v/>
      </c>
      <c r="M14" s="40">
        <f t="shared" si="4"/>
        <v>99721.224999999991</v>
      </c>
      <c r="N14" s="40">
        <f t="shared" si="4"/>
        <v>102214.25562499999</v>
      </c>
      <c r="O14" s="40" t="str">
        <f t="shared" si="4"/>
        <v/>
      </c>
      <c r="P14" s="40" t="str">
        <f t="shared" si="4"/>
        <v/>
      </c>
      <c r="Q14" s="40" t="str">
        <f t="shared" si="4"/>
        <v/>
      </c>
      <c r="R14" s="40" t="str">
        <f t="shared" si="4"/>
        <v/>
      </c>
      <c r="S14" s="40" t="str">
        <f t="shared" si="4"/>
        <v/>
      </c>
      <c r="T14" s="40" t="str">
        <f t="shared" si="4"/>
        <v/>
      </c>
      <c r="U14" s="40" t="str">
        <f t="shared" si="4"/>
        <v/>
      </c>
      <c r="V14" s="40" t="str">
        <f t="shared" si="4"/>
        <v/>
      </c>
      <c r="W14" s="40" t="str">
        <f t="shared" si="4"/>
        <v/>
      </c>
      <c r="X14" s="40" t="str">
        <f t="shared" si="4"/>
        <v/>
      </c>
      <c r="Y14" s="40" t="str">
        <f t="shared" si="4"/>
        <v/>
      </c>
      <c r="Z14" s="40" t="str">
        <f t="shared" si="4"/>
        <v/>
      </c>
      <c r="AA14" s="40" t="str">
        <f t="shared" si="4"/>
        <v/>
      </c>
      <c r="AB14" s="40" t="str">
        <f t="shared" si="5"/>
        <v/>
      </c>
      <c r="AC14" s="40" t="str">
        <f t="shared" si="5"/>
        <v/>
      </c>
      <c r="AD14" s="40" t="str">
        <f t="shared" si="5"/>
        <v/>
      </c>
      <c r="AE14" s="40" t="str">
        <f t="shared" si="5"/>
        <v/>
      </c>
      <c r="AF14" s="40" t="str">
        <f t="shared" si="5"/>
        <v/>
      </c>
      <c r="AG14" s="40" t="str">
        <f t="shared" si="5"/>
        <v/>
      </c>
      <c r="AH14" s="40" t="str">
        <f t="shared" si="5"/>
        <v/>
      </c>
      <c r="AI14" s="40" t="str">
        <f t="shared" si="5"/>
        <v/>
      </c>
      <c r="AJ14" s="40" t="str">
        <f t="shared" si="5"/>
        <v/>
      </c>
      <c r="AK14" s="40" t="str">
        <f t="shared" si="5"/>
        <v/>
      </c>
      <c r="AL14" s="40" t="str">
        <f t="shared" si="5"/>
        <v/>
      </c>
      <c r="AM14" s="40" t="str">
        <f t="shared" si="5"/>
        <v/>
      </c>
      <c r="AN14" s="40" t="str">
        <f t="shared" si="5"/>
        <v/>
      </c>
      <c r="AO14" s="40" t="str">
        <f t="shared" si="5"/>
        <v/>
      </c>
      <c r="AP14" s="40" t="str">
        <f t="shared" si="5"/>
        <v/>
      </c>
      <c r="AQ14" s="40" t="str">
        <f t="shared" si="5"/>
        <v/>
      </c>
      <c r="AR14" s="40" t="str">
        <f t="shared" si="6"/>
        <v/>
      </c>
      <c r="AS14" s="40" t="str">
        <f t="shared" si="6"/>
        <v/>
      </c>
      <c r="AT14" s="40" t="str">
        <f t="shared" si="6"/>
        <v/>
      </c>
      <c r="AU14" s="40" t="str">
        <f t="shared" si="6"/>
        <v/>
      </c>
      <c r="AV14" s="40" t="str">
        <f t="shared" si="6"/>
        <v/>
      </c>
      <c r="AW14" s="40" t="str">
        <f t="shared" si="6"/>
        <v/>
      </c>
      <c r="AX14" s="40" t="str">
        <f t="shared" si="6"/>
        <v/>
      </c>
      <c r="AY14" s="40" t="str">
        <f t="shared" si="6"/>
        <v/>
      </c>
      <c r="AZ14" s="40" t="str">
        <f t="shared" si="6"/>
        <v/>
      </c>
      <c r="BA14" s="40" t="str">
        <f t="shared" si="6"/>
        <v/>
      </c>
      <c r="BB14" s="40" t="str">
        <f t="shared" si="6"/>
        <v/>
      </c>
      <c r="BC14" s="40" t="str">
        <f t="shared" si="6"/>
        <v/>
      </c>
      <c r="BD14" s="40" t="str">
        <f t="shared" si="6"/>
        <v/>
      </c>
      <c r="BE14" s="40" t="str">
        <f t="shared" si="6"/>
        <v/>
      </c>
      <c r="BF14" s="40" t="str">
        <f t="shared" si="6"/>
        <v/>
      </c>
      <c r="BG14" s="40" t="str">
        <f t="shared" si="6"/>
        <v/>
      </c>
      <c r="BH14" s="40" t="str">
        <f t="shared" si="7"/>
        <v/>
      </c>
      <c r="BI14" s="40" t="str">
        <f t="shared" si="7"/>
        <v/>
      </c>
      <c r="BJ14" s="40" t="str">
        <f t="shared" si="7"/>
        <v/>
      </c>
      <c r="BK14" s="40" t="str">
        <f t="shared" si="7"/>
        <v/>
      </c>
      <c r="BL14" s="40" t="str">
        <f t="shared" si="7"/>
        <v/>
      </c>
      <c r="BM14" s="40" t="str">
        <f t="shared" si="7"/>
        <v/>
      </c>
      <c r="BN14" s="40" t="str">
        <f t="shared" si="7"/>
        <v/>
      </c>
      <c r="BO14" s="40" t="str">
        <f t="shared" si="7"/>
        <v/>
      </c>
      <c r="BP14" s="40" t="str">
        <f t="shared" si="7"/>
        <v/>
      </c>
      <c r="BQ14" s="40" t="str">
        <f t="shared" si="7"/>
        <v/>
      </c>
      <c r="BR14" s="40" t="str">
        <f t="shared" si="7"/>
        <v/>
      </c>
      <c r="BS14" s="40" t="str">
        <f t="shared" si="7"/>
        <v/>
      </c>
      <c r="BT14" s="41">
        <f t="shared" ref="BT14:BT32" si="9">SUM(L14:BS14)</f>
        <v>201935.48062499997</v>
      </c>
    </row>
    <row r="15" spans="1:73" ht="13.5" customHeight="1">
      <c r="A15" s="200" t="str">
        <f>'S-Collection'!B23</f>
        <v>50A</v>
      </c>
      <c r="B15" s="191" t="str">
        <f>INDEX('S-Collection'!$C$6:$C$41,MATCH(Table195781011121314236172728151617187[[#This Row],[a]],'S-Collection'!$B$6:$B$41,0))</f>
        <v>675 mm Gravity Sewer</v>
      </c>
      <c r="C15" s="129">
        <f>INDEX('S-Collection'!$F$6:$F$41,MATCH(Table195781011121314236172728151617187[[#This Row],[a]],'S-Collection'!$B$6:$B$41,0))</f>
        <v>2028</v>
      </c>
      <c r="D15" s="129">
        <f>INDEX('S-Collection'!$G$6:$G$41,MATCH(Table195781011121314236172728151617187[[#This Row],[a]],'S-Collection'!$B$6:$B$41,0))</f>
        <v>2029</v>
      </c>
      <c r="E15" s="130">
        <f t="shared" si="8"/>
        <v>2</v>
      </c>
      <c r="F15" s="124">
        <f>INDEX('S-Collection'!$P$6:$P$41,MATCH(Table195781011121314236172728151617187[[#This Row],[a]],'S-Collection'!$B$6:$B$41,0))</f>
        <v>84579</v>
      </c>
      <c r="G15" s="100"/>
      <c r="H15" s="104">
        <f>+Table195781011121314236172728151617187[[#This Row],[f]]-Table195781011121314236172728151617187[[#This Row],[g]]</f>
        <v>84579</v>
      </c>
      <c r="I15" s="110"/>
      <c r="J15" s="102"/>
      <c r="K15" s="105">
        <f>(Table195781011121314236172728151617187[[#This Row],[h]])</f>
        <v>84579</v>
      </c>
      <c r="L15" s="40" t="str">
        <f t="shared" si="4"/>
        <v/>
      </c>
      <c r="M15" s="40" t="str">
        <f t="shared" si="4"/>
        <v/>
      </c>
      <c r="N15" s="40">
        <f t="shared" si="4"/>
        <v>44430.4059375</v>
      </c>
      <c r="O15" s="40">
        <f t="shared" si="4"/>
        <v>45541.166085937497</v>
      </c>
      <c r="P15" s="40" t="str">
        <f t="shared" si="4"/>
        <v/>
      </c>
      <c r="Q15" s="40" t="str">
        <f t="shared" si="4"/>
        <v/>
      </c>
      <c r="R15" s="40" t="str">
        <f t="shared" si="4"/>
        <v/>
      </c>
      <c r="S15" s="40" t="str">
        <f t="shared" si="4"/>
        <v/>
      </c>
      <c r="T15" s="40" t="str">
        <f t="shared" si="4"/>
        <v/>
      </c>
      <c r="U15" s="40" t="str">
        <f t="shared" si="4"/>
        <v/>
      </c>
      <c r="V15" s="40" t="str">
        <f t="shared" si="4"/>
        <v/>
      </c>
      <c r="W15" s="40" t="str">
        <f t="shared" si="4"/>
        <v/>
      </c>
      <c r="X15" s="40" t="str">
        <f t="shared" si="4"/>
        <v/>
      </c>
      <c r="Y15" s="40" t="str">
        <f t="shared" si="4"/>
        <v/>
      </c>
      <c r="Z15" s="40" t="str">
        <f t="shared" si="4"/>
        <v/>
      </c>
      <c r="AA15" s="40" t="str">
        <f t="shared" si="4"/>
        <v/>
      </c>
      <c r="AB15" s="40" t="str">
        <f t="shared" si="5"/>
        <v/>
      </c>
      <c r="AC15" s="40" t="str">
        <f t="shared" si="5"/>
        <v/>
      </c>
      <c r="AD15" s="40" t="str">
        <f t="shared" si="5"/>
        <v/>
      </c>
      <c r="AE15" s="40" t="str">
        <f t="shared" si="5"/>
        <v/>
      </c>
      <c r="AF15" s="40" t="str">
        <f t="shared" si="5"/>
        <v/>
      </c>
      <c r="AG15" s="40" t="str">
        <f t="shared" si="5"/>
        <v/>
      </c>
      <c r="AH15" s="40" t="str">
        <f t="shared" si="5"/>
        <v/>
      </c>
      <c r="AI15" s="40" t="str">
        <f t="shared" si="5"/>
        <v/>
      </c>
      <c r="AJ15" s="40" t="str">
        <f t="shared" si="5"/>
        <v/>
      </c>
      <c r="AK15" s="40" t="str">
        <f t="shared" si="5"/>
        <v/>
      </c>
      <c r="AL15" s="40" t="str">
        <f t="shared" si="5"/>
        <v/>
      </c>
      <c r="AM15" s="40" t="str">
        <f t="shared" si="5"/>
        <v/>
      </c>
      <c r="AN15" s="40" t="str">
        <f t="shared" si="5"/>
        <v/>
      </c>
      <c r="AO15" s="40" t="str">
        <f t="shared" si="5"/>
        <v/>
      </c>
      <c r="AP15" s="40" t="str">
        <f t="shared" si="5"/>
        <v/>
      </c>
      <c r="AQ15" s="40" t="str">
        <f t="shared" si="5"/>
        <v/>
      </c>
      <c r="AR15" s="40" t="str">
        <f t="shared" si="6"/>
        <v/>
      </c>
      <c r="AS15" s="40" t="str">
        <f t="shared" si="6"/>
        <v/>
      </c>
      <c r="AT15" s="40" t="str">
        <f t="shared" si="6"/>
        <v/>
      </c>
      <c r="AU15" s="40" t="str">
        <f t="shared" si="6"/>
        <v/>
      </c>
      <c r="AV15" s="40" t="str">
        <f t="shared" si="6"/>
        <v/>
      </c>
      <c r="AW15" s="40" t="str">
        <f t="shared" si="6"/>
        <v/>
      </c>
      <c r="AX15" s="40" t="str">
        <f t="shared" si="6"/>
        <v/>
      </c>
      <c r="AY15" s="40" t="str">
        <f t="shared" si="6"/>
        <v/>
      </c>
      <c r="AZ15" s="40" t="str">
        <f t="shared" si="6"/>
        <v/>
      </c>
      <c r="BA15" s="40" t="str">
        <f t="shared" si="6"/>
        <v/>
      </c>
      <c r="BB15" s="40" t="str">
        <f t="shared" si="6"/>
        <v/>
      </c>
      <c r="BC15" s="40" t="str">
        <f t="shared" si="6"/>
        <v/>
      </c>
      <c r="BD15" s="40" t="str">
        <f t="shared" si="6"/>
        <v/>
      </c>
      <c r="BE15" s="40" t="str">
        <f t="shared" si="6"/>
        <v/>
      </c>
      <c r="BF15" s="40" t="str">
        <f t="shared" si="6"/>
        <v/>
      </c>
      <c r="BG15" s="40" t="str">
        <f t="shared" si="6"/>
        <v/>
      </c>
      <c r="BH15" s="40" t="str">
        <f t="shared" si="7"/>
        <v/>
      </c>
      <c r="BI15" s="40" t="str">
        <f t="shared" si="7"/>
        <v/>
      </c>
      <c r="BJ15" s="40" t="str">
        <f t="shared" si="7"/>
        <v/>
      </c>
      <c r="BK15" s="40" t="str">
        <f t="shared" si="7"/>
        <v/>
      </c>
      <c r="BL15" s="40" t="str">
        <f t="shared" si="7"/>
        <v/>
      </c>
      <c r="BM15" s="40" t="str">
        <f t="shared" si="7"/>
        <v/>
      </c>
      <c r="BN15" s="40" t="str">
        <f t="shared" si="7"/>
        <v/>
      </c>
      <c r="BO15" s="40" t="str">
        <f t="shared" si="7"/>
        <v/>
      </c>
      <c r="BP15" s="40" t="str">
        <f t="shared" si="7"/>
        <v/>
      </c>
      <c r="BQ15" s="40" t="str">
        <f t="shared" si="7"/>
        <v/>
      </c>
      <c r="BR15" s="40" t="str">
        <f t="shared" si="7"/>
        <v/>
      </c>
      <c r="BS15" s="40" t="str">
        <f t="shared" si="7"/>
        <v/>
      </c>
      <c r="BT15" s="41">
        <f>SUM(L15:BS15)</f>
        <v>89971.572023437504</v>
      </c>
    </row>
    <row r="16" spans="1:73" ht="13.5" customHeight="1">
      <c r="A16" s="335" t="str">
        <f>'S-Collection'!B24</f>
        <v>50B</v>
      </c>
      <c r="B16" s="190" t="str">
        <f>INDEX('S-Collection'!$C$6:$C$41,MATCH(Table195781011121314236172728151617187[[#This Row],[a]],'S-Collection'!$B$6:$B$41,0))</f>
        <v>675 mm Gravity Sewer</v>
      </c>
      <c r="C16" s="98">
        <f>INDEX('S-Collection'!$F$6:$F$41,MATCH(Table195781011121314236172728151617187[[#This Row],[a]],'S-Collection'!$B$6:$B$41,0))</f>
        <v>2029</v>
      </c>
      <c r="D16" s="98">
        <f>INDEX('S-Collection'!$G$6:$G$41,MATCH(Table195781011121314236172728151617187[[#This Row],[a]],'S-Collection'!$B$6:$B$41,0))</f>
        <v>2030</v>
      </c>
      <c r="E16" s="99">
        <f t="shared" si="8"/>
        <v>2</v>
      </c>
      <c r="F16" s="123">
        <f>INDEX('S-Collection'!$P$6:$P$41,MATCH(Table195781011121314236172728151617187[[#This Row],[a]],'S-Collection'!$B$6:$B$41,0))</f>
        <v>139392</v>
      </c>
      <c r="G16" s="100"/>
      <c r="H16" s="101">
        <f>+Table195781011121314236172728151617187[[#This Row],[f]]-Table195781011121314236172728151617187[[#This Row],[g]]</f>
        <v>139392</v>
      </c>
      <c r="I16" s="108"/>
      <c r="J16" s="102"/>
      <c r="K16" s="103">
        <f>(Table195781011121314236172728151617187[[#This Row],[h]])</f>
        <v>139392</v>
      </c>
      <c r="L16" s="40" t="str">
        <f t="shared" si="4"/>
        <v/>
      </c>
      <c r="M16" s="40" t="str">
        <f t="shared" si="4"/>
        <v/>
      </c>
      <c r="N16" s="40" t="str">
        <f t="shared" si="4"/>
        <v/>
      </c>
      <c r="O16" s="40">
        <f t="shared" si="4"/>
        <v>75054.968999999997</v>
      </c>
      <c r="P16" s="40">
        <f t="shared" si="4"/>
        <v>76931.34322499999</v>
      </c>
      <c r="Q16" s="40" t="str">
        <f t="shared" si="4"/>
        <v/>
      </c>
      <c r="R16" s="40" t="str">
        <f t="shared" si="4"/>
        <v/>
      </c>
      <c r="S16" s="40" t="str">
        <f t="shared" si="4"/>
        <v/>
      </c>
      <c r="T16" s="40" t="str">
        <f t="shared" si="4"/>
        <v/>
      </c>
      <c r="U16" s="40" t="str">
        <f t="shared" si="4"/>
        <v/>
      </c>
      <c r="V16" s="40" t="str">
        <f t="shared" si="4"/>
        <v/>
      </c>
      <c r="W16" s="40" t="str">
        <f t="shared" si="4"/>
        <v/>
      </c>
      <c r="X16" s="40" t="str">
        <f t="shared" si="4"/>
        <v/>
      </c>
      <c r="Y16" s="40" t="str">
        <f t="shared" si="4"/>
        <v/>
      </c>
      <c r="Z16" s="40" t="str">
        <f t="shared" si="4"/>
        <v/>
      </c>
      <c r="AA16" s="40" t="str">
        <f t="shared" si="4"/>
        <v/>
      </c>
      <c r="AB16" s="40" t="str">
        <f t="shared" si="5"/>
        <v/>
      </c>
      <c r="AC16" s="40" t="str">
        <f t="shared" si="5"/>
        <v/>
      </c>
      <c r="AD16" s="40" t="str">
        <f t="shared" si="5"/>
        <v/>
      </c>
      <c r="AE16" s="40" t="str">
        <f t="shared" si="5"/>
        <v/>
      </c>
      <c r="AF16" s="40" t="str">
        <f t="shared" si="5"/>
        <v/>
      </c>
      <c r="AG16" s="40" t="str">
        <f t="shared" si="5"/>
        <v/>
      </c>
      <c r="AH16" s="40" t="str">
        <f t="shared" si="5"/>
        <v/>
      </c>
      <c r="AI16" s="40" t="str">
        <f t="shared" si="5"/>
        <v/>
      </c>
      <c r="AJ16" s="40" t="str">
        <f t="shared" si="5"/>
        <v/>
      </c>
      <c r="AK16" s="40" t="str">
        <f t="shared" si="5"/>
        <v/>
      </c>
      <c r="AL16" s="40" t="str">
        <f t="shared" si="5"/>
        <v/>
      </c>
      <c r="AM16" s="40" t="str">
        <f t="shared" si="5"/>
        <v/>
      </c>
      <c r="AN16" s="40" t="str">
        <f t="shared" si="5"/>
        <v/>
      </c>
      <c r="AO16" s="40" t="str">
        <f t="shared" si="5"/>
        <v/>
      </c>
      <c r="AP16" s="40" t="str">
        <f t="shared" si="5"/>
        <v/>
      </c>
      <c r="AQ16" s="40" t="str">
        <f t="shared" si="5"/>
        <v/>
      </c>
      <c r="AR16" s="40" t="str">
        <f t="shared" si="6"/>
        <v/>
      </c>
      <c r="AS16" s="40" t="str">
        <f t="shared" si="6"/>
        <v/>
      </c>
      <c r="AT16" s="40" t="str">
        <f t="shared" si="6"/>
        <v/>
      </c>
      <c r="AU16" s="40" t="str">
        <f t="shared" si="6"/>
        <v/>
      </c>
      <c r="AV16" s="40" t="str">
        <f t="shared" si="6"/>
        <v/>
      </c>
      <c r="AW16" s="40" t="str">
        <f t="shared" si="6"/>
        <v/>
      </c>
      <c r="AX16" s="40" t="str">
        <f t="shared" si="6"/>
        <v/>
      </c>
      <c r="AY16" s="40" t="str">
        <f t="shared" si="6"/>
        <v/>
      </c>
      <c r="AZ16" s="40" t="str">
        <f t="shared" si="6"/>
        <v/>
      </c>
      <c r="BA16" s="40" t="str">
        <f t="shared" si="6"/>
        <v/>
      </c>
      <c r="BB16" s="40" t="str">
        <f t="shared" si="6"/>
        <v/>
      </c>
      <c r="BC16" s="40" t="str">
        <f t="shared" si="6"/>
        <v/>
      </c>
      <c r="BD16" s="40" t="str">
        <f t="shared" si="6"/>
        <v/>
      </c>
      <c r="BE16" s="40" t="str">
        <f t="shared" si="6"/>
        <v/>
      </c>
      <c r="BF16" s="40" t="str">
        <f t="shared" si="6"/>
        <v/>
      </c>
      <c r="BG16" s="40" t="str">
        <f t="shared" si="6"/>
        <v/>
      </c>
      <c r="BH16" s="40" t="str">
        <f t="shared" si="7"/>
        <v/>
      </c>
      <c r="BI16" s="40" t="str">
        <f t="shared" si="7"/>
        <v/>
      </c>
      <c r="BJ16" s="40" t="str">
        <f t="shared" si="7"/>
        <v/>
      </c>
      <c r="BK16" s="40" t="str">
        <f t="shared" si="7"/>
        <v/>
      </c>
      <c r="BL16" s="40" t="str">
        <f t="shared" si="7"/>
        <v/>
      </c>
      <c r="BM16" s="40" t="str">
        <f t="shared" si="7"/>
        <v/>
      </c>
      <c r="BN16" s="40" t="str">
        <f t="shared" si="7"/>
        <v/>
      </c>
      <c r="BO16" s="40" t="str">
        <f t="shared" si="7"/>
        <v/>
      </c>
      <c r="BP16" s="40" t="str">
        <f t="shared" si="7"/>
        <v/>
      </c>
      <c r="BQ16" s="40" t="str">
        <f t="shared" si="7"/>
        <v/>
      </c>
      <c r="BR16" s="40" t="str">
        <f t="shared" si="7"/>
        <v/>
      </c>
      <c r="BS16" s="40" t="str">
        <f t="shared" si="7"/>
        <v/>
      </c>
      <c r="BT16" s="41">
        <f>SUM(L16:BS16)</f>
        <v>151986.312225</v>
      </c>
    </row>
    <row r="17" spans="1:72" ht="13.5" customHeight="1">
      <c r="A17" s="200">
        <f>'S-Collection'!B25</f>
        <v>51</v>
      </c>
      <c r="B17" s="191" t="str">
        <f>INDEX('S-Collection'!$C$6:$C$41,MATCH(Table195781011121314236172728151617187[[#This Row],[a]],'S-Collection'!$B$6:$B$41,0))</f>
        <v>450 mm Gravity Sewer</v>
      </c>
      <c r="C17" s="129">
        <f>INDEX('S-Collection'!$F$6:$F$41,MATCH(Table195781011121314236172728151617187[[#This Row],[a]],'S-Collection'!$B$6:$B$41,0))</f>
        <v>2040</v>
      </c>
      <c r="D17" s="129">
        <f>INDEX('S-Collection'!$G$6:$G$41,MATCH(Table195781011121314236172728151617187[[#This Row],[a]],'S-Collection'!$B$6:$B$41,0))</f>
        <v>2041</v>
      </c>
      <c r="E17" s="130">
        <f t="shared" si="8"/>
        <v>2</v>
      </c>
      <c r="F17" s="124">
        <f>INDEX('S-Collection'!$P$6:$P$41,MATCH(Table195781011121314236172728151617187[[#This Row],[a]],'S-Collection'!$B$6:$B$41,0))</f>
        <v>34440</v>
      </c>
      <c r="G17" s="100"/>
      <c r="H17" s="104">
        <f>+Table195781011121314236172728151617187[[#This Row],[f]]-Table195781011121314236172728151617187[[#This Row],[g]]</f>
        <v>34440</v>
      </c>
      <c r="I17" s="110"/>
      <c r="J17" s="102"/>
      <c r="K17" s="105">
        <f>(Table195781011121314236172728151617187[[#This Row],[h]])</f>
        <v>34440</v>
      </c>
      <c r="L17" s="40" t="str">
        <f t="shared" si="4"/>
        <v/>
      </c>
      <c r="M17" s="40" t="str">
        <f t="shared" si="4"/>
        <v/>
      </c>
      <c r="N17" s="40" t="str">
        <f t="shared" si="4"/>
        <v/>
      </c>
      <c r="O17" s="40" t="str">
        <f t="shared" si="4"/>
        <v/>
      </c>
      <c r="P17" s="40" t="str">
        <f t="shared" si="4"/>
        <v/>
      </c>
      <c r="Q17" s="40" t="str">
        <f t="shared" si="4"/>
        <v/>
      </c>
      <c r="R17" s="40" t="str">
        <f t="shared" si="4"/>
        <v/>
      </c>
      <c r="S17" s="40" t="str">
        <f t="shared" si="4"/>
        <v/>
      </c>
      <c r="T17" s="40" t="str">
        <f t="shared" si="4"/>
        <v/>
      </c>
      <c r="U17" s="40" t="str">
        <f t="shared" si="4"/>
        <v/>
      </c>
      <c r="V17" s="40" t="str">
        <f t="shared" si="4"/>
        <v/>
      </c>
      <c r="W17" s="40" t="str">
        <f t="shared" si="4"/>
        <v/>
      </c>
      <c r="X17" s="40" t="str">
        <f t="shared" si="4"/>
        <v/>
      </c>
      <c r="Y17" s="40" t="str">
        <f t="shared" si="4"/>
        <v/>
      </c>
      <c r="Z17" s="40">
        <f t="shared" si="4"/>
        <v>24331.409197168246</v>
      </c>
      <c r="AA17" s="40">
        <f t="shared" si="4"/>
        <v>24939.694427097449</v>
      </c>
      <c r="AB17" s="40" t="str">
        <f t="shared" si="5"/>
        <v/>
      </c>
      <c r="AC17" s="40" t="str">
        <f t="shared" si="5"/>
        <v/>
      </c>
      <c r="AD17" s="40" t="str">
        <f t="shared" si="5"/>
        <v/>
      </c>
      <c r="AE17" s="40" t="str">
        <f t="shared" si="5"/>
        <v/>
      </c>
      <c r="AF17" s="40" t="str">
        <f t="shared" si="5"/>
        <v/>
      </c>
      <c r="AG17" s="40" t="str">
        <f t="shared" si="5"/>
        <v/>
      </c>
      <c r="AH17" s="40" t="str">
        <f t="shared" si="5"/>
        <v/>
      </c>
      <c r="AI17" s="40" t="str">
        <f t="shared" si="5"/>
        <v/>
      </c>
      <c r="AJ17" s="40" t="str">
        <f t="shared" si="5"/>
        <v/>
      </c>
      <c r="AK17" s="40" t="str">
        <f t="shared" si="5"/>
        <v/>
      </c>
      <c r="AL17" s="40" t="str">
        <f t="shared" si="5"/>
        <v/>
      </c>
      <c r="AM17" s="40" t="str">
        <f t="shared" si="5"/>
        <v/>
      </c>
      <c r="AN17" s="40" t="str">
        <f t="shared" si="5"/>
        <v/>
      </c>
      <c r="AO17" s="40" t="str">
        <f t="shared" si="5"/>
        <v/>
      </c>
      <c r="AP17" s="40" t="str">
        <f t="shared" si="5"/>
        <v/>
      </c>
      <c r="AQ17" s="40" t="str">
        <f t="shared" si="5"/>
        <v/>
      </c>
      <c r="AR17" s="40" t="str">
        <f t="shared" si="6"/>
        <v/>
      </c>
      <c r="AS17" s="40" t="str">
        <f t="shared" si="6"/>
        <v/>
      </c>
      <c r="AT17" s="40" t="str">
        <f t="shared" si="6"/>
        <v/>
      </c>
      <c r="AU17" s="40" t="str">
        <f t="shared" si="6"/>
        <v/>
      </c>
      <c r="AV17" s="40" t="str">
        <f t="shared" si="6"/>
        <v/>
      </c>
      <c r="AW17" s="40" t="str">
        <f t="shared" si="6"/>
        <v/>
      </c>
      <c r="AX17" s="40" t="str">
        <f t="shared" si="6"/>
        <v/>
      </c>
      <c r="AY17" s="40" t="str">
        <f t="shared" si="6"/>
        <v/>
      </c>
      <c r="AZ17" s="40" t="str">
        <f t="shared" si="6"/>
        <v/>
      </c>
      <c r="BA17" s="40" t="str">
        <f t="shared" si="6"/>
        <v/>
      </c>
      <c r="BB17" s="40" t="str">
        <f t="shared" si="6"/>
        <v/>
      </c>
      <c r="BC17" s="40" t="str">
        <f t="shared" si="6"/>
        <v/>
      </c>
      <c r="BD17" s="40" t="str">
        <f t="shared" si="6"/>
        <v/>
      </c>
      <c r="BE17" s="40" t="str">
        <f t="shared" si="6"/>
        <v/>
      </c>
      <c r="BF17" s="40" t="str">
        <f t="shared" si="6"/>
        <v/>
      </c>
      <c r="BG17" s="40" t="str">
        <f t="shared" si="6"/>
        <v/>
      </c>
      <c r="BH17" s="40" t="str">
        <f t="shared" si="7"/>
        <v/>
      </c>
      <c r="BI17" s="40" t="str">
        <f t="shared" si="7"/>
        <v/>
      </c>
      <c r="BJ17" s="40" t="str">
        <f t="shared" si="7"/>
        <v/>
      </c>
      <c r="BK17" s="40" t="str">
        <f t="shared" si="7"/>
        <v/>
      </c>
      <c r="BL17" s="40" t="str">
        <f t="shared" si="7"/>
        <v/>
      </c>
      <c r="BM17" s="40" t="str">
        <f t="shared" si="7"/>
        <v/>
      </c>
      <c r="BN17" s="40" t="str">
        <f t="shared" si="7"/>
        <v/>
      </c>
      <c r="BO17" s="40" t="str">
        <f t="shared" si="7"/>
        <v/>
      </c>
      <c r="BP17" s="40" t="str">
        <f t="shared" si="7"/>
        <v/>
      </c>
      <c r="BQ17" s="40" t="str">
        <f t="shared" si="7"/>
        <v/>
      </c>
      <c r="BR17" s="40" t="str">
        <f t="shared" si="7"/>
        <v/>
      </c>
      <c r="BS17" s="40" t="str">
        <f t="shared" si="7"/>
        <v/>
      </c>
      <c r="BT17" s="41">
        <f t="shared" si="9"/>
        <v>49271.103624265699</v>
      </c>
    </row>
    <row r="18" spans="1:72" ht="13.5" customHeight="1">
      <c r="A18" s="335" t="str">
        <f>'S-Collection'!B26</f>
        <v>53A</v>
      </c>
      <c r="B18" s="190" t="str">
        <f>INDEX('S-Collection'!$C$6:$C$41,MATCH(Table195781011121314236172728151617187[[#This Row],[a]],'S-Collection'!$B$6:$B$41,0))</f>
        <v>525 mm Gravity Sewer</v>
      </c>
      <c r="C18" s="98">
        <f>INDEX('S-Collection'!$F$6:$F$41,MATCH(Table195781011121314236172728151617187[[#This Row],[a]],'S-Collection'!$B$6:$B$41,0))</f>
        <v>2030</v>
      </c>
      <c r="D18" s="98">
        <f>INDEX('S-Collection'!$G$6:$G$41,MATCH(Table195781011121314236172728151617187[[#This Row],[a]],'S-Collection'!$B$6:$B$41,0))</f>
        <v>2031</v>
      </c>
      <c r="E18" s="99">
        <f t="shared" ref="E18:E19" si="10">(D18-C18)+1</f>
        <v>2</v>
      </c>
      <c r="F18" s="123">
        <f>INDEX('S-Collection'!$P$6:$P$41,MATCH(Table195781011121314236172728151617187[[#This Row],[a]],'S-Collection'!$B$6:$B$41,0))</f>
        <v>81576</v>
      </c>
      <c r="G18" s="100"/>
      <c r="H18" s="104">
        <f>+Table195781011121314236172728151617187[[#This Row],[f]]-Table195781011121314236172728151617187[[#This Row],[g]]</f>
        <v>81576</v>
      </c>
      <c r="I18" s="108"/>
      <c r="J18" s="102"/>
      <c r="K18" s="103">
        <f>(Table195781011121314236172728151617187[[#This Row],[h]])</f>
        <v>81576</v>
      </c>
      <c r="L18" s="40" t="str">
        <f t="shared" si="4"/>
        <v/>
      </c>
      <c r="M18" s="40" t="str">
        <f t="shared" si="4"/>
        <v/>
      </c>
      <c r="N18" s="40" t="str">
        <f t="shared" si="4"/>
        <v/>
      </c>
      <c r="O18" s="40" t="str">
        <f t="shared" si="4"/>
        <v/>
      </c>
      <c r="P18" s="40">
        <f t="shared" si="4"/>
        <v>45022.320182812487</v>
      </c>
      <c r="Q18" s="40">
        <f t="shared" si="4"/>
        <v>46147.878187382797</v>
      </c>
      <c r="R18" s="40" t="str">
        <f t="shared" si="4"/>
        <v/>
      </c>
      <c r="S18" s="40" t="str">
        <f t="shared" si="4"/>
        <v/>
      </c>
      <c r="T18" s="40" t="str">
        <f t="shared" si="4"/>
        <v/>
      </c>
      <c r="U18" s="40" t="str">
        <f t="shared" si="4"/>
        <v/>
      </c>
      <c r="V18" s="40" t="str">
        <f t="shared" si="4"/>
        <v/>
      </c>
      <c r="W18" s="40" t="str">
        <f t="shared" si="4"/>
        <v/>
      </c>
      <c r="X18" s="40" t="str">
        <f t="shared" si="4"/>
        <v/>
      </c>
      <c r="Y18" s="40" t="str">
        <f t="shared" si="4"/>
        <v/>
      </c>
      <c r="Z18" s="40" t="str">
        <f t="shared" si="4"/>
        <v/>
      </c>
      <c r="AA18" s="40" t="str">
        <f t="shared" si="4"/>
        <v/>
      </c>
      <c r="AB18" s="40" t="str">
        <f t="shared" si="5"/>
        <v/>
      </c>
      <c r="AC18" s="40" t="str">
        <f t="shared" si="5"/>
        <v/>
      </c>
      <c r="AD18" s="40" t="str">
        <f t="shared" si="5"/>
        <v/>
      </c>
      <c r="AE18" s="40" t="str">
        <f t="shared" si="5"/>
        <v/>
      </c>
      <c r="AF18" s="40" t="str">
        <f t="shared" si="5"/>
        <v/>
      </c>
      <c r="AG18" s="40" t="str">
        <f t="shared" si="5"/>
        <v/>
      </c>
      <c r="AH18" s="40" t="str">
        <f t="shared" si="5"/>
        <v/>
      </c>
      <c r="AI18" s="40" t="str">
        <f t="shared" si="5"/>
        <v/>
      </c>
      <c r="AJ18" s="40" t="str">
        <f t="shared" si="5"/>
        <v/>
      </c>
      <c r="AK18" s="40" t="str">
        <f t="shared" si="5"/>
        <v/>
      </c>
      <c r="AL18" s="40" t="str">
        <f t="shared" si="5"/>
        <v/>
      </c>
      <c r="AM18" s="40" t="str">
        <f t="shared" si="5"/>
        <v/>
      </c>
      <c r="AN18" s="40" t="str">
        <f t="shared" si="5"/>
        <v/>
      </c>
      <c r="AO18" s="40" t="str">
        <f t="shared" si="5"/>
        <v/>
      </c>
      <c r="AP18" s="40" t="str">
        <f t="shared" si="5"/>
        <v/>
      </c>
      <c r="AQ18" s="40" t="str">
        <f t="shared" si="5"/>
        <v/>
      </c>
      <c r="AR18" s="40" t="str">
        <f t="shared" si="6"/>
        <v/>
      </c>
      <c r="AS18" s="40" t="str">
        <f t="shared" si="6"/>
        <v/>
      </c>
      <c r="AT18" s="40" t="str">
        <f t="shared" si="6"/>
        <v/>
      </c>
      <c r="AU18" s="40" t="str">
        <f t="shared" si="6"/>
        <v/>
      </c>
      <c r="AV18" s="40" t="str">
        <f t="shared" si="6"/>
        <v/>
      </c>
      <c r="AW18" s="40" t="str">
        <f t="shared" si="6"/>
        <v/>
      </c>
      <c r="AX18" s="40" t="str">
        <f t="shared" si="6"/>
        <v/>
      </c>
      <c r="AY18" s="40" t="str">
        <f t="shared" si="6"/>
        <v/>
      </c>
      <c r="AZ18" s="40" t="str">
        <f t="shared" si="6"/>
        <v/>
      </c>
      <c r="BA18" s="40" t="str">
        <f t="shared" si="6"/>
        <v/>
      </c>
      <c r="BB18" s="40" t="str">
        <f t="shared" si="6"/>
        <v/>
      </c>
      <c r="BC18" s="40" t="str">
        <f t="shared" si="6"/>
        <v/>
      </c>
      <c r="BD18" s="40" t="str">
        <f t="shared" si="6"/>
        <v/>
      </c>
      <c r="BE18" s="40" t="str">
        <f t="shared" si="6"/>
        <v/>
      </c>
      <c r="BF18" s="40" t="str">
        <f t="shared" si="6"/>
        <v/>
      </c>
      <c r="BG18" s="40" t="str">
        <f t="shared" si="6"/>
        <v/>
      </c>
      <c r="BH18" s="40" t="str">
        <f t="shared" si="7"/>
        <v/>
      </c>
      <c r="BI18" s="40" t="str">
        <f t="shared" si="7"/>
        <v/>
      </c>
      <c r="BJ18" s="40" t="str">
        <f t="shared" si="7"/>
        <v/>
      </c>
      <c r="BK18" s="40" t="str">
        <f t="shared" si="7"/>
        <v/>
      </c>
      <c r="BL18" s="40" t="str">
        <f t="shared" si="7"/>
        <v/>
      </c>
      <c r="BM18" s="40" t="str">
        <f t="shared" si="7"/>
        <v/>
      </c>
      <c r="BN18" s="40" t="str">
        <f t="shared" si="7"/>
        <v/>
      </c>
      <c r="BO18" s="40" t="str">
        <f t="shared" si="7"/>
        <v/>
      </c>
      <c r="BP18" s="40" t="str">
        <f t="shared" si="7"/>
        <v/>
      </c>
      <c r="BQ18" s="40" t="str">
        <f t="shared" si="7"/>
        <v/>
      </c>
      <c r="BR18" s="40" t="str">
        <f t="shared" si="7"/>
        <v/>
      </c>
      <c r="BS18" s="40" t="str">
        <f t="shared" si="7"/>
        <v/>
      </c>
      <c r="BT18" s="41">
        <f>SUM(L18:BS18)</f>
        <v>91170.198370195285</v>
      </c>
    </row>
    <row r="19" spans="1:72" ht="13.5" customHeight="1">
      <c r="A19" s="200" t="str">
        <f>'S-Collection'!B27</f>
        <v>53B</v>
      </c>
      <c r="B19" s="191" t="str">
        <f>INDEX('S-Collection'!$C$6:$C$41,MATCH(Table195781011121314236172728151617187[[#This Row],[a]],'S-Collection'!$B$6:$B$41,0))</f>
        <v>525 mm Gravity Sewer</v>
      </c>
      <c r="C19" s="129">
        <f>INDEX('S-Collection'!$F$6:$F$41,MATCH(Table195781011121314236172728151617187[[#This Row],[a]],'S-Collection'!$B$6:$B$41,0))</f>
        <v>2029</v>
      </c>
      <c r="D19" s="129">
        <f>INDEX('S-Collection'!$G$6:$G$41,MATCH(Table195781011121314236172728151617187[[#This Row],[a]],'S-Collection'!$B$6:$B$41,0))</f>
        <v>2030</v>
      </c>
      <c r="E19" s="130">
        <f t="shared" si="10"/>
        <v>2</v>
      </c>
      <c r="F19" s="124">
        <f>INDEX('S-Collection'!$P$6:$P$41,MATCH(Table195781011121314236172728151617187[[#This Row],[a]],'S-Collection'!$B$6:$B$41,0))</f>
        <v>121128</v>
      </c>
      <c r="G19" s="100"/>
      <c r="H19" s="104">
        <f>+Table195781011121314236172728151617187[[#This Row],[f]]-Table195781011121314236172728151617187[[#This Row],[g]]</f>
        <v>121128</v>
      </c>
      <c r="I19" s="110"/>
      <c r="J19" s="102"/>
      <c r="K19" s="105">
        <f>(Table195781011121314236172728151617187[[#This Row],[h]])</f>
        <v>121128</v>
      </c>
      <c r="L19" s="40" t="str">
        <f t="shared" si="4"/>
        <v/>
      </c>
      <c r="M19" s="40" t="str">
        <f t="shared" si="4"/>
        <v/>
      </c>
      <c r="N19" s="40" t="str">
        <f t="shared" si="4"/>
        <v/>
      </c>
      <c r="O19" s="40">
        <f t="shared" si="4"/>
        <v>65220.803812499995</v>
      </c>
      <c r="P19" s="40">
        <f t="shared" si="4"/>
        <v>66851.32390781249</v>
      </c>
      <c r="Q19" s="40" t="str">
        <f t="shared" si="4"/>
        <v/>
      </c>
      <c r="R19" s="40" t="str">
        <f t="shared" si="4"/>
        <v/>
      </c>
      <c r="S19" s="40" t="str">
        <f t="shared" si="4"/>
        <v/>
      </c>
      <c r="T19" s="40" t="str">
        <f t="shared" si="4"/>
        <v/>
      </c>
      <c r="U19" s="40" t="str">
        <f t="shared" si="4"/>
        <v/>
      </c>
      <c r="V19" s="40" t="str">
        <f t="shared" si="4"/>
        <v/>
      </c>
      <c r="W19" s="40" t="str">
        <f t="shared" si="4"/>
        <v/>
      </c>
      <c r="X19" s="40" t="str">
        <f t="shared" si="4"/>
        <v/>
      </c>
      <c r="Y19" s="40" t="str">
        <f t="shared" si="4"/>
        <v/>
      </c>
      <c r="Z19" s="40" t="str">
        <f t="shared" si="4"/>
        <v/>
      </c>
      <c r="AA19" s="40" t="str">
        <f t="shared" si="4"/>
        <v/>
      </c>
      <c r="AB19" s="40" t="str">
        <f t="shared" si="5"/>
        <v/>
      </c>
      <c r="AC19" s="40" t="str">
        <f t="shared" si="5"/>
        <v/>
      </c>
      <c r="AD19" s="40" t="str">
        <f t="shared" si="5"/>
        <v/>
      </c>
      <c r="AE19" s="40" t="str">
        <f t="shared" si="5"/>
        <v/>
      </c>
      <c r="AF19" s="40" t="str">
        <f t="shared" si="5"/>
        <v/>
      </c>
      <c r="AG19" s="40" t="str">
        <f t="shared" si="5"/>
        <v/>
      </c>
      <c r="AH19" s="40" t="str">
        <f t="shared" si="5"/>
        <v/>
      </c>
      <c r="AI19" s="40" t="str">
        <f t="shared" si="5"/>
        <v/>
      </c>
      <c r="AJ19" s="40" t="str">
        <f t="shared" si="5"/>
        <v/>
      </c>
      <c r="AK19" s="40" t="str">
        <f t="shared" si="5"/>
        <v/>
      </c>
      <c r="AL19" s="40" t="str">
        <f t="shared" si="5"/>
        <v/>
      </c>
      <c r="AM19" s="40" t="str">
        <f t="shared" si="5"/>
        <v/>
      </c>
      <c r="AN19" s="40" t="str">
        <f t="shared" si="5"/>
        <v/>
      </c>
      <c r="AO19" s="40" t="str">
        <f t="shared" si="5"/>
        <v/>
      </c>
      <c r="AP19" s="40" t="str">
        <f t="shared" si="5"/>
        <v/>
      </c>
      <c r="AQ19" s="40" t="str">
        <f t="shared" si="5"/>
        <v/>
      </c>
      <c r="AR19" s="40" t="str">
        <f t="shared" si="6"/>
        <v/>
      </c>
      <c r="AS19" s="40" t="str">
        <f t="shared" si="6"/>
        <v/>
      </c>
      <c r="AT19" s="40" t="str">
        <f t="shared" si="6"/>
        <v/>
      </c>
      <c r="AU19" s="40" t="str">
        <f t="shared" si="6"/>
        <v/>
      </c>
      <c r="AV19" s="40" t="str">
        <f t="shared" si="6"/>
        <v/>
      </c>
      <c r="AW19" s="40" t="str">
        <f t="shared" si="6"/>
        <v/>
      </c>
      <c r="AX19" s="40" t="str">
        <f t="shared" si="6"/>
        <v/>
      </c>
      <c r="AY19" s="40" t="str">
        <f t="shared" si="6"/>
        <v/>
      </c>
      <c r="AZ19" s="40" t="str">
        <f t="shared" si="6"/>
        <v/>
      </c>
      <c r="BA19" s="40" t="str">
        <f t="shared" si="6"/>
        <v/>
      </c>
      <c r="BB19" s="40" t="str">
        <f t="shared" si="6"/>
        <v/>
      </c>
      <c r="BC19" s="40" t="str">
        <f t="shared" si="6"/>
        <v/>
      </c>
      <c r="BD19" s="40" t="str">
        <f t="shared" si="6"/>
        <v/>
      </c>
      <c r="BE19" s="40" t="str">
        <f t="shared" si="6"/>
        <v/>
      </c>
      <c r="BF19" s="40" t="str">
        <f t="shared" si="6"/>
        <v/>
      </c>
      <c r="BG19" s="40" t="str">
        <f t="shared" si="6"/>
        <v/>
      </c>
      <c r="BH19" s="40" t="str">
        <f t="shared" si="7"/>
        <v/>
      </c>
      <c r="BI19" s="40" t="str">
        <f t="shared" si="7"/>
        <v/>
      </c>
      <c r="BJ19" s="40" t="str">
        <f t="shared" si="7"/>
        <v/>
      </c>
      <c r="BK19" s="40" t="str">
        <f t="shared" si="7"/>
        <v/>
      </c>
      <c r="BL19" s="40" t="str">
        <f t="shared" si="7"/>
        <v/>
      </c>
      <c r="BM19" s="40" t="str">
        <f t="shared" si="7"/>
        <v/>
      </c>
      <c r="BN19" s="40" t="str">
        <f t="shared" si="7"/>
        <v/>
      </c>
      <c r="BO19" s="40" t="str">
        <f t="shared" si="7"/>
        <v/>
      </c>
      <c r="BP19" s="40" t="str">
        <f t="shared" si="7"/>
        <v/>
      </c>
      <c r="BQ19" s="40" t="str">
        <f t="shared" si="7"/>
        <v/>
      </c>
      <c r="BR19" s="40" t="str">
        <f t="shared" si="7"/>
        <v/>
      </c>
      <c r="BS19" s="40" t="str">
        <f t="shared" si="7"/>
        <v/>
      </c>
      <c r="BT19" s="41">
        <f t="shared" si="9"/>
        <v>132072.12772031248</v>
      </c>
    </row>
    <row r="20" spans="1:72" ht="13.5" customHeight="1">
      <c r="A20" s="335">
        <f>'S-Collection'!B28</f>
        <v>55</v>
      </c>
      <c r="B20" s="190" t="str">
        <f>INDEX('S-Collection'!$C$6:$C$41,MATCH(Table195781011121314236172728151617187[[#This Row],[a]],'S-Collection'!$B$6:$B$41,0))</f>
        <v>450 mm Gravity Sewer</v>
      </c>
      <c r="C20" s="98">
        <f>INDEX('S-Collection'!$F$6:$F$41,MATCH(Table195781011121314236172728151617187[[#This Row],[a]],'S-Collection'!$B$6:$B$41,0))</f>
        <v>2030</v>
      </c>
      <c r="D20" s="98">
        <f>INDEX('S-Collection'!$G$6:$G$41,MATCH(Table195781011121314236172728151617187[[#This Row],[a]],'S-Collection'!$B$6:$B$41,0))</f>
        <v>2031</v>
      </c>
      <c r="E20" s="99">
        <f t="shared" ref="E20:E21" si="11">(D20-C20)+1</f>
        <v>2</v>
      </c>
      <c r="F20" s="123">
        <f>INDEX('S-Collection'!$P$6:$P$41,MATCH(Table195781011121314236172728151617187[[#This Row],[a]],'S-Collection'!$B$6:$B$41,0))</f>
        <v>96000</v>
      </c>
      <c r="G20" s="100"/>
      <c r="H20" s="104">
        <f>+Table195781011121314236172728151617187[[#This Row],[f]]-Table195781011121314236172728151617187[[#This Row],[g]]</f>
        <v>96000</v>
      </c>
      <c r="I20" s="108"/>
      <c r="J20" s="102"/>
      <c r="K20" s="103">
        <f>(Table195781011121314236172728151617187[[#This Row],[h]])</f>
        <v>96000</v>
      </c>
      <c r="L20" s="40" t="str">
        <f t="shared" si="4"/>
        <v/>
      </c>
      <c r="M20" s="40" t="str">
        <f t="shared" si="4"/>
        <v/>
      </c>
      <c r="N20" s="40" t="str">
        <f t="shared" si="4"/>
        <v/>
      </c>
      <c r="O20" s="40" t="str">
        <f t="shared" si="4"/>
        <v/>
      </c>
      <c r="P20" s="40">
        <f t="shared" si="4"/>
        <v>52983.018749999988</v>
      </c>
      <c r="Q20" s="40">
        <f t="shared" si="4"/>
        <v>54307.594218749982</v>
      </c>
      <c r="R20" s="40" t="str">
        <f>IF(AND(R$10=$C20,R$10=$D20),(($K20/$E20)*R$6),IF(AND(R$10&gt;=$C20,R$10&lt;=$D20),(($K20/$E20)*R$6),""))</f>
        <v/>
      </c>
      <c r="S20" s="40" t="str">
        <f t="shared" si="4"/>
        <v/>
      </c>
      <c r="T20" s="40" t="str">
        <f t="shared" si="4"/>
        <v/>
      </c>
      <c r="U20" s="40" t="str">
        <f t="shared" si="4"/>
        <v/>
      </c>
      <c r="V20" s="40" t="str">
        <f t="shared" si="4"/>
        <v/>
      </c>
      <c r="W20" s="40" t="str">
        <f t="shared" si="4"/>
        <v/>
      </c>
      <c r="X20" s="40" t="str">
        <f t="shared" si="4"/>
        <v/>
      </c>
      <c r="Y20" s="40" t="str">
        <f t="shared" si="4"/>
        <v/>
      </c>
      <c r="Z20" s="40" t="str">
        <f t="shared" si="4"/>
        <v/>
      </c>
      <c r="AA20" s="40" t="str">
        <f t="shared" si="4"/>
        <v/>
      </c>
      <c r="AB20" s="40" t="str">
        <f t="shared" si="5"/>
        <v/>
      </c>
      <c r="AC20" s="40" t="str">
        <f t="shared" si="5"/>
        <v/>
      </c>
      <c r="AD20" s="40" t="str">
        <f t="shared" si="5"/>
        <v/>
      </c>
      <c r="AE20" s="40" t="str">
        <f t="shared" si="5"/>
        <v/>
      </c>
      <c r="AF20" s="40" t="str">
        <f t="shared" si="5"/>
        <v/>
      </c>
      <c r="AG20" s="40" t="str">
        <f t="shared" si="5"/>
        <v/>
      </c>
      <c r="AH20" s="40" t="str">
        <f t="shared" si="5"/>
        <v/>
      </c>
      <c r="AI20" s="40" t="str">
        <f t="shared" si="5"/>
        <v/>
      </c>
      <c r="AJ20" s="40" t="str">
        <f t="shared" si="5"/>
        <v/>
      </c>
      <c r="AK20" s="40" t="str">
        <f t="shared" si="5"/>
        <v/>
      </c>
      <c r="AL20" s="40" t="str">
        <f t="shared" si="5"/>
        <v/>
      </c>
      <c r="AM20" s="40" t="str">
        <f t="shared" si="5"/>
        <v/>
      </c>
      <c r="AN20" s="40" t="str">
        <f t="shared" si="5"/>
        <v/>
      </c>
      <c r="AO20" s="40" t="str">
        <f t="shared" si="5"/>
        <v/>
      </c>
      <c r="AP20" s="40" t="str">
        <f t="shared" si="5"/>
        <v/>
      </c>
      <c r="AQ20" s="40" t="str">
        <f t="shared" si="5"/>
        <v/>
      </c>
      <c r="AR20" s="40" t="str">
        <f t="shared" si="6"/>
        <v/>
      </c>
      <c r="AS20" s="40" t="str">
        <f t="shared" si="6"/>
        <v/>
      </c>
      <c r="AT20" s="40" t="str">
        <f t="shared" si="6"/>
        <v/>
      </c>
      <c r="AU20" s="40" t="str">
        <f t="shared" si="6"/>
        <v/>
      </c>
      <c r="AV20" s="40" t="str">
        <f t="shared" si="6"/>
        <v/>
      </c>
      <c r="AW20" s="40" t="str">
        <f t="shared" si="6"/>
        <v/>
      </c>
      <c r="AX20" s="40" t="str">
        <f t="shared" si="6"/>
        <v/>
      </c>
      <c r="AY20" s="40" t="str">
        <f t="shared" si="6"/>
        <v/>
      </c>
      <c r="AZ20" s="40" t="str">
        <f t="shared" si="6"/>
        <v/>
      </c>
      <c r="BA20" s="40" t="str">
        <f t="shared" si="6"/>
        <v/>
      </c>
      <c r="BB20" s="40" t="str">
        <f t="shared" si="6"/>
        <v/>
      </c>
      <c r="BC20" s="40" t="str">
        <f t="shared" si="6"/>
        <v/>
      </c>
      <c r="BD20" s="40" t="str">
        <f t="shared" si="6"/>
        <v/>
      </c>
      <c r="BE20" s="40" t="str">
        <f t="shared" si="6"/>
        <v/>
      </c>
      <c r="BF20" s="40" t="str">
        <f t="shared" si="6"/>
        <v/>
      </c>
      <c r="BG20" s="40" t="str">
        <f t="shared" si="6"/>
        <v/>
      </c>
      <c r="BH20" s="40" t="str">
        <f t="shared" si="7"/>
        <v/>
      </c>
      <c r="BI20" s="40" t="str">
        <f t="shared" si="7"/>
        <v/>
      </c>
      <c r="BJ20" s="40" t="str">
        <f t="shared" si="7"/>
        <v/>
      </c>
      <c r="BK20" s="40" t="str">
        <f t="shared" si="7"/>
        <v/>
      </c>
      <c r="BL20" s="40" t="str">
        <f t="shared" si="7"/>
        <v/>
      </c>
      <c r="BM20" s="40" t="str">
        <f t="shared" si="7"/>
        <v/>
      </c>
      <c r="BN20" s="40" t="str">
        <f t="shared" si="7"/>
        <v/>
      </c>
      <c r="BO20" s="40" t="str">
        <f t="shared" si="7"/>
        <v/>
      </c>
      <c r="BP20" s="40" t="str">
        <f t="shared" si="7"/>
        <v/>
      </c>
      <c r="BQ20" s="40" t="str">
        <f t="shared" si="7"/>
        <v/>
      </c>
      <c r="BR20" s="40" t="str">
        <f t="shared" si="7"/>
        <v/>
      </c>
      <c r="BS20" s="40" t="str">
        <f t="shared" si="7"/>
        <v/>
      </c>
      <c r="BT20" s="41">
        <f>SUM(L20:BS20)</f>
        <v>107290.61296874998</v>
      </c>
    </row>
    <row r="21" spans="1:72" ht="13.5" customHeight="1">
      <c r="A21" s="200">
        <f>'S-Collection'!B29</f>
        <v>59</v>
      </c>
      <c r="B21" s="191" t="str">
        <f>INDEX('S-Collection'!$C$6:$C$41,MATCH(Table195781011121314236172728151617187[[#This Row],[a]],'S-Collection'!$B$6:$B$41,0))</f>
        <v>600 mm Gravity Sewer</v>
      </c>
      <c r="C21" s="129">
        <f>INDEX('S-Collection'!$F$6:$F$41,MATCH(Table195781011121314236172728151617187[[#This Row],[a]],'S-Collection'!$B$6:$B$41,0))</f>
        <v>2030</v>
      </c>
      <c r="D21" s="129">
        <f>INDEX('S-Collection'!$G$6:$G$41,MATCH(Table195781011121314236172728151617187[[#This Row],[a]],'S-Collection'!$B$6:$B$41,0))</f>
        <v>2031</v>
      </c>
      <c r="E21" s="130">
        <f t="shared" si="11"/>
        <v>2</v>
      </c>
      <c r="F21" s="124">
        <f>INDEX('S-Collection'!$P$6:$P$41,MATCH(Table195781011121314236172728151617187[[#This Row],[a]],'S-Collection'!$B$6:$B$41,0))</f>
        <v>55944</v>
      </c>
      <c r="G21" s="100"/>
      <c r="H21" s="104">
        <f>+Table195781011121314236172728151617187[[#This Row],[f]]-Table195781011121314236172728151617187[[#This Row],[g]]</f>
        <v>55944</v>
      </c>
      <c r="I21" s="110"/>
      <c r="J21" s="102"/>
      <c r="K21" s="105">
        <f>(Table195781011121314236172728151617187[[#This Row],[h]])</f>
        <v>55944</v>
      </c>
      <c r="L21" s="40" t="str">
        <f t="shared" si="4"/>
        <v/>
      </c>
      <c r="M21" s="40" t="str">
        <f t="shared" si="4"/>
        <v/>
      </c>
      <c r="N21" s="40" t="str">
        <f t="shared" si="4"/>
        <v/>
      </c>
      <c r="O21" s="40" t="str">
        <f t="shared" si="4"/>
        <v/>
      </c>
      <c r="P21" s="40">
        <f t="shared" si="4"/>
        <v>30875.854176562494</v>
      </c>
      <c r="Q21" s="40">
        <f t="shared" si="4"/>
        <v>31647.750530976551</v>
      </c>
      <c r="R21" s="40" t="str">
        <f t="shared" si="4"/>
        <v/>
      </c>
      <c r="S21" s="40" t="str">
        <f t="shared" si="4"/>
        <v/>
      </c>
      <c r="T21" s="40" t="str">
        <f t="shared" si="4"/>
        <v/>
      </c>
      <c r="U21" s="40" t="str">
        <f t="shared" si="4"/>
        <v/>
      </c>
      <c r="V21" s="40" t="str">
        <f t="shared" si="4"/>
        <v/>
      </c>
      <c r="W21" s="40" t="str">
        <f t="shared" si="4"/>
        <v/>
      </c>
      <c r="X21" s="40" t="str">
        <f t="shared" si="4"/>
        <v/>
      </c>
      <c r="Y21" s="40" t="str">
        <f t="shared" si="4"/>
        <v/>
      </c>
      <c r="Z21" s="40" t="str">
        <f t="shared" si="4"/>
        <v/>
      </c>
      <c r="AA21" s="40" t="str">
        <f t="shared" si="4"/>
        <v/>
      </c>
      <c r="AB21" s="40" t="str">
        <f t="shared" si="5"/>
        <v/>
      </c>
      <c r="AC21" s="40" t="str">
        <f t="shared" si="5"/>
        <v/>
      </c>
      <c r="AD21" s="40" t="str">
        <f t="shared" si="5"/>
        <v/>
      </c>
      <c r="AE21" s="40" t="str">
        <f t="shared" si="5"/>
        <v/>
      </c>
      <c r="AF21" s="40" t="str">
        <f t="shared" si="5"/>
        <v/>
      </c>
      <c r="AG21" s="40" t="str">
        <f t="shared" si="5"/>
        <v/>
      </c>
      <c r="AH21" s="40" t="str">
        <f t="shared" si="5"/>
        <v/>
      </c>
      <c r="AI21" s="40" t="str">
        <f t="shared" si="5"/>
        <v/>
      </c>
      <c r="AJ21" s="40" t="str">
        <f t="shared" si="5"/>
        <v/>
      </c>
      <c r="AK21" s="40" t="str">
        <f t="shared" si="5"/>
        <v/>
      </c>
      <c r="AL21" s="40" t="str">
        <f t="shared" si="5"/>
        <v/>
      </c>
      <c r="AM21" s="40" t="str">
        <f t="shared" si="5"/>
        <v/>
      </c>
      <c r="AN21" s="40" t="str">
        <f t="shared" si="5"/>
        <v/>
      </c>
      <c r="AO21" s="40" t="str">
        <f t="shared" si="5"/>
        <v/>
      </c>
      <c r="AP21" s="40" t="str">
        <f t="shared" si="5"/>
        <v/>
      </c>
      <c r="AQ21" s="40" t="str">
        <f t="shared" si="5"/>
        <v/>
      </c>
      <c r="AR21" s="40" t="str">
        <f t="shared" si="6"/>
        <v/>
      </c>
      <c r="AS21" s="40" t="str">
        <f t="shared" si="6"/>
        <v/>
      </c>
      <c r="AT21" s="40" t="str">
        <f t="shared" si="6"/>
        <v/>
      </c>
      <c r="AU21" s="40" t="str">
        <f t="shared" si="6"/>
        <v/>
      </c>
      <c r="AV21" s="40" t="str">
        <f t="shared" si="6"/>
        <v/>
      </c>
      <c r="AW21" s="40" t="str">
        <f t="shared" si="6"/>
        <v/>
      </c>
      <c r="AX21" s="40" t="str">
        <f t="shared" si="6"/>
        <v/>
      </c>
      <c r="AY21" s="40" t="str">
        <f t="shared" si="6"/>
        <v/>
      </c>
      <c r="AZ21" s="40" t="str">
        <f t="shared" si="6"/>
        <v/>
      </c>
      <c r="BA21" s="40" t="str">
        <f t="shared" si="6"/>
        <v/>
      </c>
      <c r="BB21" s="40" t="str">
        <f t="shared" si="6"/>
        <v/>
      </c>
      <c r="BC21" s="40" t="str">
        <f t="shared" si="6"/>
        <v/>
      </c>
      <c r="BD21" s="40" t="str">
        <f t="shared" si="6"/>
        <v/>
      </c>
      <c r="BE21" s="40" t="str">
        <f t="shared" si="6"/>
        <v/>
      </c>
      <c r="BF21" s="40" t="str">
        <f t="shared" si="6"/>
        <v/>
      </c>
      <c r="BG21" s="40" t="str">
        <f t="shared" si="6"/>
        <v/>
      </c>
      <c r="BH21" s="40" t="str">
        <f t="shared" si="7"/>
        <v/>
      </c>
      <c r="BI21" s="40" t="str">
        <f t="shared" si="7"/>
        <v/>
      </c>
      <c r="BJ21" s="40" t="str">
        <f t="shared" si="7"/>
        <v/>
      </c>
      <c r="BK21" s="40" t="str">
        <f t="shared" si="7"/>
        <v/>
      </c>
      <c r="BL21" s="40" t="str">
        <f t="shared" si="7"/>
        <v/>
      </c>
      <c r="BM21" s="40" t="str">
        <f t="shared" si="7"/>
        <v/>
      </c>
      <c r="BN21" s="40" t="str">
        <f t="shared" si="7"/>
        <v/>
      </c>
      <c r="BO21" s="40" t="str">
        <f t="shared" si="7"/>
        <v/>
      </c>
      <c r="BP21" s="40" t="str">
        <f t="shared" si="7"/>
        <v/>
      </c>
      <c r="BQ21" s="40" t="str">
        <f t="shared" si="7"/>
        <v/>
      </c>
      <c r="BR21" s="40" t="str">
        <f t="shared" si="7"/>
        <v/>
      </c>
      <c r="BS21" s="40" t="str">
        <f t="shared" si="7"/>
        <v/>
      </c>
      <c r="BT21" s="41">
        <f t="shared" si="9"/>
        <v>62523.604707539045</v>
      </c>
    </row>
    <row r="22" spans="1:72" ht="13.5" customHeight="1">
      <c r="A22" s="335">
        <f>'S-Collection'!B30</f>
        <v>65</v>
      </c>
      <c r="B22" s="190" t="str">
        <f>INDEX('S-Collection'!$C$6:$C$41,MATCH(Table195781011121314236172728151617187[[#This Row],[a]],'S-Collection'!$B$6:$B$41,0))</f>
        <v>675 mm Gravity Sewer</v>
      </c>
      <c r="C22" s="98">
        <f>INDEX('S-Collection'!$F$6:$F$41,MATCH(Table195781011121314236172728151617187[[#This Row],[a]],'S-Collection'!$B$6:$B$41,0))</f>
        <v>2029</v>
      </c>
      <c r="D22" s="98">
        <f>INDEX('S-Collection'!$G$6:$G$41,MATCH(Table195781011121314236172728151617187[[#This Row],[a]],'S-Collection'!$B$6:$B$41,0))</f>
        <v>2030</v>
      </c>
      <c r="E22" s="99">
        <f>(D22-C22)+1</f>
        <v>2</v>
      </c>
      <c r="F22" s="123">
        <f>INDEX('S-Collection'!$P$6:$P$41,MATCH(Table195781011121314236172728151617187[[#This Row],[a]],'S-Collection'!$B$6:$B$41,0))</f>
        <v>219252</v>
      </c>
      <c r="G22" s="100"/>
      <c r="H22" s="101">
        <f>+Table195781011121314236172728151617187[[#This Row],[f]]-Table195781011121314236172728151617187[[#This Row],[g]]</f>
        <v>219252</v>
      </c>
      <c r="I22" s="108"/>
      <c r="J22" s="102"/>
      <c r="K22" s="103">
        <f>(Table195781011121314236172728151617187[[#This Row],[h]])</f>
        <v>219252</v>
      </c>
      <c r="L22" s="40" t="str">
        <f t="shared" si="4"/>
        <v/>
      </c>
      <c r="M22" s="40" t="str">
        <f t="shared" si="4"/>
        <v/>
      </c>
      <c r="N22" s="40" t="str">
        <f t="shared" si="4"/>
        <v/>
      </c>
      <c r="O22" s="40">
        <f t="shared" si="4"/>
        <v>118055.21165624999</v>
      </c>
      <c r="P22" s="40">
        <f t="shared" si="4"/>
        <v>121006.59194765623</v>
      </c>
      <c r="Q22" s="40" t="str">
        <f t="shared" si="4"/>
        <v/>
      </c>
      <c r="R22" s="40" t="str">
        <f t="shared" si="4"/>
        <v/>
      </c>
      <c r="S22" s="40" t="str">
        <f t="shared" si="4"/>
        <v/>
      </c>
      <c r="T22" s="40" t="str">
        <f t="shared" si="4"/>
        <v/>
      </c>
      <c r="U22" s="40" t="str">
        <f t="shared" si="4"/>
        <v/>
      </c>
      <c r="V22" s="40" t="str">
        <f t="shared" si="4"/>
        <v/>
      </c>
      <c r="W22" s="40" t="str">
        <f t="shared" si="4"/>
        <v/>
      </c>
      <c r="X22" s="40" t="str">
        <f t="shared" si="4"/>
        <v/>
      </c>
      <c r="Y22" s="40" t="str">
        <f t="shared" si="4"/>
        <v/>
      </c>
      <c r="Z22" s="40" t="str">
        <f t="shared" si="4"/>
        <v/>
      </c>
      <c r="AA22" s="40" t="str">
        <f t="shared" si="4"/>
        <v/>
      </c>
      <c r="AB22" s="40" t="str">
        <f t="shared" si="5"/>
        <v/>
      </c>
      <c r="AC22" s="40" t="str">
        <f t="shared" si="5"/>
        <v/>
      </c>
      <c r="AD22" s="40" t="str">
        <f t="shared" si="5"/>
        <v/>
      </c>
      <c r="AE22" s="40" t="str">
        <f t="shared" si="5"/>
        <v/>
      </c>
      <c r="AF22" s="40" t="str">
        <f t="shared" si="5"/>
        <v/>
      </c>
      <c r="AG22" s="40" t="str">
        <f t="shared" si="5"/>
        <v/>
      </c>
      <c r="AH22" s="40" t="str">
        <f t="shared" si="5"/>
        <v/>
      </c>
      <c r="AI22" s="40" t="str">
        <f t="shared" si="5"/>
        <v/>
      </c>
      <c r="AJ22" s="40" t="str">
        <f t="shared" si="5"/>
        <v/>
      </c>
      <c r="AK22" s="40" t="str">
        <f t="shared" si="5"/>
        <v/>
      </c>
      <c r="AL22" s="40" t="str">
        <f t="shared" si="5"/>
        <v/>
      </c>
      <c r="AM22" s="40" t="str">
        <f t="shared" si="5"/>
        <v/>
      </c>
      <c r="AN22" s="40" t="str">
        <f t="shared" si="5"/>
        <v/>
      </c>
      <c r="AO22" s="40" t="str">
        <f t="shared" si="5"/>
        <v/>
      </c>
      <c r="AP22" s="40" t="str">
        <f t="shared" si="5"/>
        <v/>
      </c>
      <c r="AQ22" s="40" t="str">
        <f t="shared" si="5"/>
        <v/>
      </c>
      <c r="AR22" s="40" t="str">
        <f t="shared" si="6"/>
        <v/>
      </c>
      <c r="AS22" s="40" t="str">
        <f t="shared" si="6"/>
        <v/>
      </c>
      <c r="AT22" s="40" t="str">
        <f t="shared" si="6"/>
        <v/>
      </c>
      <c r="AU22" s="40" t="str">
        <f t="shared" si="6"/>
        <v/>
      </c>
      <c r="AV22" s="40" t="str">
        <f t="shared" si="6"/>
        <v/>
      </c>
      <c r="AW22" s="40" t="str">
        <f t="shared" si="6"/>
        <v/>
      </c>
      <c r="AX22" s="40" t="str">
        <f t="shared" si="6"/>
        <v/>
      </c>
      <c r="AY22" s="40" t="str">
        <f t="shared" si="6"/>
        <v/>
      </c>
      <c r="AZ22" s="40" t="str">
        <f t="shared" si="6"/>
        <v/>
      </c>
      <c r="BA22" s="40" t="str">
        <f t="shared" si="6"/>
        <v/>
      </c>
      <c r="BB22" s="40" t="str">
        <f t="shared" si="6"/>
        <v/>
      </c>
      <c r="BC22" s="40" t="str">
        <f t="shared" si="6"/>
        <v/>
      </c>
      <c r="BD22" s="40" t="str">
        <f t="shared" si="6"/>
        <v/>
      </c>
      <c r="BE22" s="40" t="str">
        <f t="shared" si="6"/>
        <v/>
      </c>
      <c r="BF22" s="40" t="str">
        <f t="shared" si="6"/>
        <v/>
      </c>
      <c r="BG22" s="40" t="str">
        <f t="shared" si="6"/>
        <v/>
      </c>
      <c r="BH22" s="40" t="str">
        <f t="shared" si="7"/>
        <v/>
      </c>
      <c r="BI22" s="40" t="str">
        <f t="shared" si="7"/>
        <v/>
      </c>
      <c r="BJ22" s="40" t="str">
        <f t="shared" si="7"/>
        <v/>
      </c>
      <c r="BK22" s="40" t="str">
        <f t="shared" si="7"/>
        <v/>
      </c>
      <c r="BL22" s="40" t="str">
        <f t="shared" si="7"/>
        <v/>
      </c>
      <c r="BM22" s="40" t="str">
        <f t="shared" si="7"/>
        <v/>
      </c>
      <c r="BN22" s="40" t="str">
        <f t="shared" si="7"/>
        <v/>
      </c>
      <c r="BO22" s="40" t="str">
        <f t="shared" si="7"/>
        <v/>
      </c>
      <c r="BP22" s="40" t="str">
        <f t="shared" si="7"/>
        <v/>
      </c>
      <c r="BQ22" s="40" t="str">
        <f t="shared" si="7"/>
        <v/>
      </c>
      <c r="BR22" s="40" t="str">
        <f t="shared" si="7"/>
        <v/>
      </c>
      <c r="BS22" s="40" t="str">
        <f t="shared" si="7"/>
        <v/>
      </c>
      <c r="BT22" s="41">
        <f t="shared" si="9"/>
        <v>239061.80360390621</v>
      </c>
    </row>
    <row r="23" spans="1:72" ht="13.5" customHeight="1">
      <c r="A23" s="200">
        <f>'S-Collection'!B31</f>
        <v>68</v>
      </c>
      <c r="B23" s="191" t="str">
        <f>INDEX('S-Collection'!$C$6:$C$41,MATCH(Table195781011121314236172728151617187[[#This Row],[a]],'S-Collection'!$B$6:$B$41,0))</f>
        <v>250 mm Siphon</v>
      </c>
      <c r="C23" s="129">
        <f>INDEX('S-Collection'!$F$6:$F$41,MATCH(Table195781011121314236172728151617187[[#This Row],[a]],'S-Collection'!$B$6:$B$41,0))</f>
        <v>2034</v>
      </c>
      <c r="D23" s="129">
        <f>INDEX('S-Collection'!$G$6:$G$41,MATCH(Table195781011121314236172728151617187[[#This Row],[a]],'S-Collection'!$B$6:$B$41,0))</f>
        <v>2035</v>
      </c>
      <c r="E23" s="130">
        <f>(D23-C23)+1</f>
        <v>2</v>
      </c>
      <c r="F23" s="124">
        <f>INDEX('S-Collection'!$P$6:$P$41,MATCH(Table195781011121314236172728151617187[[#This Row],[a]],'S-Collection'!$B$6:$B$41,0))</f>
        <v>4931206.625</v>
      </c>
      <c r="G23" s="100"/>
      <c r="H23" s="104">
        <f>+Table195781011121314236172728151617187[[#This Row],[f]]-Table195781011121314236172728151617187[[#This Row],[g]]</f>
        <v>4931206.625</v>
      </c>
      <c r="I23" s="110"/>
      <c r="J23" s="102"/>
      <c r="K23" s="105">
        <f>(Table195781011121314236172728151617187[[#This Row],[h]])</f>
        <v>4931206.625</v>
      </c>
      <c r="L23" s="40" t="str">
        <f t="shared" si="4"/>
        <v/>
      </c>
      <c r="M23" s="40" t="str">
        <f t="shared" si="4"/>
        <v/>
      </c>
      <c r="N23" s="40" t="str">
        <f t="shared" si="4"/>
        <v/>
      </c>
      <c r="O23" s="40" t="str">
        <f t="shared" si="4"/>
        <v/>
      </c>
      <c r="P23" s="40" t="str">
        <f t="shared" si="4"/>
        <v/>
      </c>
      <c r="Q23" s="40" t="str">
        <f t="shared" si="4"/>
        <v/>
      </c>
      <c r="R23" s="40" t="str">
        <f t="shared" si="4"/>
        <v/>
      </c>
      <c r="S23" s="40" t="str">
        <f t="shared" si="4"/>
        <v/>
      </c>
      <c r="T23" s="40">
        <f t="shared" si="4"/>
        <v>3004098.2200600505</v>
      </c>
      <c r="U23" s="40">
        <f t="shared" si="4"/>
        <v>3079200.6755615515</v>
      </c>
      <c r="V23" s="40" t="str">
        <f t="shared" si="4"/>
        <v/>
      </c>
      <c r="W23" s="40" t="str">
        <f t="shared" si="4"/>
        <v/>
      </c>
      <c r="X23" s="40" t="str">
        <f t="shared" si="4"/>
        <v/>
      </c>
      <c r="Y23" s="40" t="str">
        <f t="shared" si="4"/>
        <v/>
      </c>
      <c r="Z23" s="40" t="str">
        <f t="shared" si="4"/>
        <v/>
      </c>
      <c r="AA23" s="40" t="str">
        <f t="shared" si="4"/>
        <v/>
      </c>
      <c r="AB23" s="40" t="str">
        <f t="shared" si="5"/>
        <v/>
      </c>
      <c r="AC23" s="40" t="str">
        <f t="shared" si="5"/>
        <v/>
      </c>
      <c r="AD23" s="40" t="str">
        <f t="shared" si="5"/>
        <v/>
      </c>
      <c r="AE23" s="40" t="str">
        <f t="shared" si="5"/>
        <v/>
      </c>
      <c r="AF23" s="40" t="str">
        <f t="shared" si="5"/>
        <v/>
      </c>
      <c r="AG23" s="40" t="str">
        <f t="shared" si="5"/>
        <v/>
      </c>
      <c r="AH23" s="40" t="str">
        <f t="shared" si="5"/>
        <v/>
      </c>
      <c r="AI23" s="40" t="str">
        <f t="shared" si="5"/>
        <v/>
      </c>
      <c r="AJ23" s="40" t="str">
        <f t="shared" si="5"/>
        <v/>
      </c>
      <c r="AK23" s="40" t="str">
        <f t="shared" si="5"/>
        <v/>
      </c>
      <c r="AL23" s="40" t="str">
        <f t="shared" si="5"/>
        <v/>
      </c>
      <c r="AM23" s="40" t="str">
        <f t="shared" si="5"/>
        <v/>
      </c>
      <c r="AN23" s="40" t="str">
        <f t="shared" si="5"/>
        <v/>
      </c>
      <c r="AO23" s="40" t="str">
        <f t="shared" si="5"/>
        <v/>
      </c>
      <c r="AP23" s="40" t="str">
        <f t="shared" si="5"/>
        <v/>
      </c>
      <c r="AQ23" s="40" t="str">
        <f t="shared" si="5"/>
        <v/>
      </c>
      <c r="AR23" s="40" t="str">
        <f t="shared" si="6"/>
        <v/>
      </c>
      <c r="AS23" s="40" t="str">
        <f t="shared" si="6"/>
        <v/>
      </c>
      <c r="AT23" s="40" t="str">
        <f t="shared" si="6"/>
        <v/>
      </c>
      <c r="AU23" s="40" t="str">
        <f t="shared" si="6"/>
        <v/>
      </c>
      <c r="AV23" s="40" t="str">
        <f t="shared" si="6"/>
        <v/>
      </c>
      <c r="AW23" s="40" t="str">
        <f t="shared" si="6"/>
        <v/>
      </c>
      <c r="AX23" s="40" t="str">
        <f t="shared" si="6"/>
        <v/>
      </c>
      <c r="AY23" s="40" t="str">
        <f t="shared" si="6"/>
        <v/>
      </c>
      <c r="AZ23" s="40" t="str">
        <f t="shared" si="6"/>
        <v/>
      </c>
      <c r="BA23" s="40" t="str">
        <f t="shared" si="6"/>
        <v/>
      </c>
      <c r="BB23" s="40" t="str">
        <f t="shared" si="6"/>
        <v/>
      </c>
      <c r="BC23" s="40" t="str">
        <f t="shared" si="6"/>
        <v/>
      </c>
      <c r="BD23" s="40" t="str">
        <f t="shared" si="6"/>
        <v/>
      </c>
      <c r="BE23" s="40" t="str">
        <f t="shared" si="6"/>
        <v/>
      </c>
      <c r="BF23" s="40" t="str">
        <f t="shared" si="6"/>
        <v/>
      </c>
      <c r="BG23" s="40" t="str">
        <f t="shared" si="6"/>
        <v/>
      </c>
      <c r="BH23" s="40" t="str">
        <f t="shared" si="7"/>
        <v/>
      </c>
      <c r="BI23" s="40" t="str">
        <f t="shared" si="7"/>
        <v/>
      </c>
      <c r="BJ23" s="40" t="str">
        <f t="shared" si="7"/>
        <v/>
      </c>
      <c r="BK23" s="40" t="str">
        <f t="shared" si="7"/>
        <v/>
      </c>
      <c r="BL23" s="40" t="str">
        <f t="shared" si="7"/>
        <v/>
      </c>
      <c r="BM23" s="40" t="str">
        <f t="shared" si="7"/>
        <v/>
      </c>
      <c r="BN23" s="40" t="str">
        <f t="shared" si="7"/>
        <v/>
      </c>
      <c r="BO23" s="40" t="str">
        <f t="shared" si="7"/>
        <v/>
      </c>
      <c r="BP23" s="40" t="str">
        <f t="shared" si="7"/>
        <v/>
      </c>
      <c r="BQ23" s="40" t="str">
        <f t="shared" si="7"/>
        <v/>
      </c>
      <c r="BR23" s="40" t="str">
        <f t="shared" si="7"/>
        <v/>
      </c>
      <c r="BS23" s="40" t="str">
        <f t="shared" si="7"/>
        <v/>
      </c>
      <c r="BT23" s="41">
        <f>SUM(L23:BS23)</f>
        <v>6083298.8956216015</v>
      </c>
    </row>
    <row r="24" spans="1:72" ht="13.5" customHeight="1">
      <c r="A24" s="670">
        <v>69</v>
      </c>
      <c r="B24" s="689" t="str">
        <f>INDEX('S-Collection'!$C$6:$C$41,MATCH(Table195781011121314236172728151617187[[#This Row],[a]],'S-Collection'!$B$6:$B$41,0))</f>
        <v>525 mm Gravity Sewer</v>
      </c>
      <c r="C24" s="671">
        <f>INDEX('S-Collection'!$F$6:$F$41,MATCH(Table195781011121314236172728151617187[[#This Row],[a]],'S-Collection'!$B$6:$B$41,0))</f>
        <v>2033</v>
      </c>
      <c r="D24" s="672">
        <f>INDEX('S-Collection'!$G$6:$G$41,MATCH(Table195781011121314236172728151617187[[#This Row],[a]],'S-Collection'!$B$6:$B$41,0))</f>
        <v>2034</v>
      </c>
      <c r="E24" s="671">
        <f t="shared" ref="E24:E25" si="12">(D24-C24)+1</f>
        <v>2</v>
      </c>
      <c r="F24" s="673">
        <f>INDEX('S-Collection'!$P$6:$P$41,MATCH(Table195781011121314236172728151617187[[#This Row],[a]],'S-Collection'!$B$6:$B$41,0))</f>
        <v>190138</v>
      </c>
      <c r="G24" s="674"/>
      <c r="H24" s="675">
        <f>+Table195781011121314236172728151617187[[#This Row],[f]]-Table195781011121314236172728151617187[[#This Row],[g]]</f>
        <v>190138</v>
      </c>
      <c r="I24" s="676"/>
      <c r="J24" s="677"/>
      <c r="K24" s="678">
        <f>(Table195781011121314236172728151617187[[#This Row],[h]])</f>
        <v>190138</v>
      </c>
      <c r="L24" s="40" t="str">
        <f t="shared" si="4"/>
        <v/>
      </c>
      <c r="M24" s="40" t="str">
        <f t="shared" si="4"/>
        <v/>
      </c>
      <c r="N24" s="40" t="str">
        <f t="shared" si="4"/>
        <v/>
      </c>
      <c r="O24" s="40" t="str">
        <f t="shared" si="4"/>
        <v/>
      </c>
      <c r="P24" s="40" t="str">
        <f t="shared" si="4"/>
        <v/>
      </c>
      <c r="Q24" s="40" t="str">
        <f t="shared" si="4"/>
        <v/>
      </c>
      <c r="R24" s="40" t="str">
        <f t="shared" si="4"/>
        <v/>
      </c>
      <c r="S24" s="40">
        <f t="shared" si="4"/>
        <v>113007.16591548327</v>
      </c>
      <c r="T24" s="40">
        <f t="shared" si="4"/>
        <v>115832.34506337035</v>
      </c>
      <c r="U24" s="40" t="str">
        <f t="shared" si="4"/>
        <v/>
      </c>
      <c r="V24" s="40" t="str">
        <f t="shared" si="4"/>
        <v/>
      </c>
      <c r="W24" s="40" t="str">
        <f t="shared" si="4"/>
        <v/>
      </c>
      <c r="X24" s="40" t="str">
        <f t="shared" si="4"/>
        <v/>
      </c>
      <c r="Y24" s="40" t="str">
        <f t="shared" si="4"/>
        <v/>
      </c>
      <c r="Z24" s="40" t="str">
        <f t="shared" si="4"/>
        <v/>
      </c>
      <c r="AA24" s="40" t="str">
        <f t="shared" si="4"/>
        <v/>
      </c>
      <c r="AB24" s="40" t="str">
        <f t="shared" si="5"/>
        <v/>
      </c>
      <c r="AC24" s="40" t="str">
        <f t="shared" si="5"/>
        <v/>
      </c>
      <c r="AD24" s="40" t="str">
        <f t="shared" si="5"/>
        <v/>
      </c>
      <c r="AE24" s="40" t="str">
        <f t="shared" si="5"/>
        <v/>
      </c>
      <c r="AF24" s="40" t="str">
        <f t="shared" si="5"/>
        <v/>
      </c>
      <c r="AG24" s="40" t="str">
        <f t="shared" si="5"/>
        <v/>
      </c>
      <c r="AH24" s="40" t="str">
        <f t="shared" si="5"/>
        <v/>
      </c>
      <c r="AI24" s="40" t="str">
        <f t="shared" si="5"/>
        <v/>
      </c>
      <c r="AJ24" s="40" t="str">
        <f t="shared" si="5"/>
        <v/>
      </c>
      <c r="AK24" s="40" t="str">
        <f t="shared" si="5"/>
        <v/>
      </c>
      <c r="AL24" s="40" t="str">
        <f t="shared" si="5"/>
        <v/>
      </c>
      <c r="AM24" s="40" t="str">
        <f t="shared" si="5"/>
        <v/>
      </c>
      <c r="AN24" s="40" t="str">
        <f t="shared" si="5"/>
        <v/>
      </c>
      <c r="AO24" s="40" t="str">
        <f t="shared" si="5"/>
        <v/>
      </c>
      <c r="AP24" s="40" t="str">
        <f t="shared" si="5"/>
        <v/>
      </c>
      <c r="AQ24" s="40" t="str">
        <f t="shared" si="5"/>
        <v/>
      </c>
      <c r="AR24" s="40" t="str">
        <f t="shared" si="6"/>
        <v/>
      </c>
      <c r="AS24" s="40" t="str">
        <f t="shared" si="6"/>
        <v/>
      </c>
      <c r="AT24" s="40" t="str">
        <f t="shared" si="6"/>
        <v/>
      </c>
      <c r="AU24" s="40" t="str">
        <f t="shared" si="6"/>
        <v/>
      </c>
      <c r="AV24" s="40" t="str">
        <f t="shared" si="6"/>
        <v/>
      </c>
      <c r="AW24" s="40" t="str">
        <f t="shared" si="6"/>
        <v/>
      </c>
      <c r="AX24" s="40" t="str">
        <f t="shared" si="6"/>
        <v/>
      </c>
      <c r="AY24" s="40" t="str">
        <f t="shared" si="6"/>
        <v/>
      </c>
      <c r="AZ24" s="40" t="str">
        <f t="shared" si="6"/>
        <v/>
      </c>
      <c r="BA24" s="40" t="str">
        <f t="shared" si="6"/>
        <v/>
      </c>
      <c r="BB24" s="40" t="str">
        <f t="shared" si="6"/>
        <v/>
      </c>
      <c r="BC24" s="40" t="str">
        <f t="shared" si="6"/>
        <v/>
      </c>
      <c r="BD24" s="40" t="str">
        <f t="shared" si="6"/>
        <v/>
      </c>
      <c r="BE24" s="40" t="str">
        <f t="shared" si="6"/>
        <v/>
      </c>
      <c r="BF24" s="40" t="str">
        <f t="shared" si="6"/>
        <v/>
      </c>
      <c r="BG24" s="40" t="str">
        <f t="shared" si="6"/>
        <v/>
      </c>
      <c r="BH24" s="40" t="str">
        <f t="shared" si="7"/>
        <v/>
      </c>
      <c r="BI24" s="40" t="str">
        <f t="shared" si="7"/>
        <v/>
      </c>
      <c r="BJ24" s="40" t="str">
        <f t="shared" si="7"/>
        <v/>
      </c>
      <c r="BK24" s="40" t="str">
        <f t="shared" si="7"/>
        <v/>
      </c>
      <c r="BL24" s="40" t="str">
        <f t="shared" si="7"/>
        <v/>
      </c>
      <c r="BM24" s="40" t="str">
        <f t="shared" si="7"/>
        <v/>
      </c>
      <c r="BN24" s="40" t="str">
        <f t="shared" si="7"/>
        <v/>
      </c>
      <c r="BO24" s="40" t="str">
        <f t="shared" si="7"/>
        <v/>
      </c>
      <c r="BP24" s="40" t="str">
        <f t="shared" si="7"/>
        <v/>
      </c>
      <c r="BQ24" s="40" t="str">
        <f t="shared" si="7"/>
        <v/>
      </c>
      <c r="BR24" s="40" t="str">
        <f t="shared" si="7"/>
        <v/>
      </c>
      <c r="BS24" s="40" t="str">
        <f t="shared" si="7"/>
        <v/>
      </c>
      <c r="BT24" s="41">
        <f t="shared" si="9"/>
        <v>228839.51097885362</v>
      </c>
    </row>
    <row r="25" spans="1:72" ht="13.5" customHeight="1">
      <c r="A25" s="670">
        <v>42</v>
      </c>
      <c r="B25" s="689" t="str">
        <f>INDEX('S-Collection'!$C$6:$C$41,MATCH(Table195781011121314236172728151617187[[#This Row],[a]],'S-Collection'!$B$6:$B$41,0))</f>
        <v>375 mm Gravity Sewer</v>
      </c>
      <c r="C25" s="671">
        <f>INDEX('S-Collection'!$F$6:$F$41,MATCH(Table195781011121314236172728151617187[[#This Row],[a]],'S-Collection'!$B$6:$B$41,0))</f>
        <v>2034</v>
      </c>
      <c r="D25" s="672">
        <f>INDEX('S-Collection'!$G$6:$G$41,MATCH(Table195781011121314236172728151617187[[#This Row],[a]],'S-Collection'!$B$6:$B$41,0))</f>
        <v>2035</v>
      </c>
      <c r="E25" s="671">
        <f t="shared" si="12"/>
        <v>2</v>
      </c>
      <c r="F25" s="673">
        <f>INDEX('S-Collection'!$P$6:$P$41,MATCH(Table195781011121314236172728151617187[[#This Row],[a]],'S-Collection'!$B$6:$B$41,0))</f>
        <v>33426</v>
      </c>
      <c r="G25" s="674"/>
      <c r="H25" s="675">
        <f>+Table195781011121314236172728151617187[[#This Row],[f]]-Table195781011121314236172728151617187[[#This Row],[g]]</f>
        <v>33426</v>
      </c>
      <c r="I25" s="676"/>
      <c r="J25" s="677"/>
      <c r="K25" s="678">
        <f>(Table195781011121314236172728151617187[[#This Row],[h]])</f>
        <v>33426</v>
      </c>
      <c r="L25" s="40" t="str">
        <f t="shared" si="4"/>
        <v/>
      </c>
      <c r="M25" s="40" t="str">
        <f t="shared" si="4"/>
        <v/>
      </c>
      <c r="N25" s="40" t="str">
        <f t="shared" si="4"/>
        <v/>
      </c>
      <c r="O25" s="40" t="str">
        <f t="shared" si="4"/>
        <v/>
      </c>
      <c r="P25" s="40" t="str">
        <f t="shared" si="4"/>
        <v/>
      </c>
      <c r="Q25" s="40" t="str">
        <f t="shared" si="4"/>
        <v/>
      </c>
      <c r="R25" s="40" t="str">
        <f t="shared" si="4"/>
        <v/>
      </c>
      <c r="S25" s="40" t="str">
        <f t="shared" si="4"/>
        <v/>
      </c>
      <c r="T25" s="40">
        <f t="shared" si="4"/>
        <v>20363.16762608325</v>
      </c>
      <c r="U25" s="40">
        <f t="shared" si="4"/>
        <v>20872.246816735329</v>
      </c>
      <c r="V25" s="40" t="str">
        <f t="shared" si="4"/>
        <v/>
      </c>
      <c r="W25" s="40" t="str">
        <f t="shared" si="4"/>
        <v/>
      </c>
      <c r="X25" s="40" t="str">
        <f t="shared" si="4"/>
        <v/>
      </c>
      <c r="Y25" s="40" t="str">
        <f t="shared" si="4"/>
        <v/>
      </c>
      <c r="Z25" s="40" t="str">
        <f t="shared" si="4"/>
        <v/>
      </c>
      <c r="AA25" s="40" t="str">
        <f t="shared" si="4"/>
        <v/>
      </c>
      <c r="AB25" s="40" t="str">
        <f t="shared" si="5"/>
        <v/>
      </c>
      <c r="AC25" s="40" t="str">
        <f t="shared" si="5"/>
        <v/>
      </c>
      <c r="AD25" s="40" t="str">
        <f t="shared" si="5"/>
        <v/>
      </c>
      <c r="AE25" s="40" t="str">
        <f t="shared" si="5"/>
        <v/>
      </c>
      <c r="AF25" s="40" t="str">
        <f t="shared" si="5"/>
        <v/>
      </c>
      <c r="AG25" s="40" t="str">
        <f t="shared" si="5"/>
        <v/>
      </c>
      <c r="AH25" s="40" t="str">
        <f t="shared" si="5"/>
        <v/>
      </c>
      <c r="AI25" s="40" t="str">
        <f t="shared" si="5"/>
        <v/>
      </c>
      <c r="AJ25" s="40" t="str">
        <f t="shared" si="5"/>
        <v/>
      </c>
      <c r="AK25" s="40" t="str">
        <f t="shared" si="5"/>
        <v/>
      </c>
      <c r="AL25" s="40" t="str">
        <f t="shared" si="5"/>
        <v/>
      </c>
      <c r="AM25" s="40" t="str">
        <f t="shared" si="5"/>
        <v/>
      </c>
      <c r="AN25" s="40" t="str">
        <f t="shared" si="5"/>
        <v/>
      </c>
      <c r="AO25" s="40" t="str">
        <f t="shared" si="5"/>
        <v/>
      </c>
      <c r="AP25" s="40" t="str">
        <f t="shared" si="5"/>
        <v/>
      </c>
      <c r="AQ25" s="40" t="str">
        <f t="shared" si="5"/>
        <v/>
      </c>
      <c r="AR25" s="40" t="str">
        <f t="shared" si="6"/>
        <v/>
      </c>
      <c r="AS25" s="40" t="str">
        <f t="shared" si="6"/>
        <v/>
      </c>
      <c r="AT25" s="40" t="str">
        <f t="shared" si="6"/>
        <v/>
      </c>
      <c r="AU25" s="40" t="str">
        <f t="shared" si="6"/>
        <v/>
      </c>
      <c r="AV25" s="40" t="str">
        <f t="shared" si="6"/>
        <v/>
      </c>
      <c r="AW25" s="40" t="str">
        <f t="shared" si="6"/>
        <v/>
      </c>
      <c r="AX25" s="40" t="str">
        <f t="shared" si="6"/>
        <v/>
      </c>
      <c r="AY25" s="40" t="str">
        <f t="shared" si="6"/>
        <v/>
      </c>
      <c r="AZ25" s="40" t="str">
        <f t="shared" si="6"/>
        <v/>
      </c>
      <c r="BA25" s="40" t="str">
        <f t="shared" si="6"/>
        <v/>
      </c>
      <c r="BB25" s="40" t="str">
        <f t="shared" si="6"/>
        <v/>
      </c>
      <c r="BC25" s="40" t="str">
        <f t="shared" si="6"/>
        <v/>
      </c>
      <c r="BD25" s="40" t="str">
        <f t="shared" si="6"/>
        <v/>
      </c>
      <c r="BE25" s="40" t="str">
        <f t="shared" si="6"/>
        <v/>
      </c>
      <c r="BF25" s="40" t="str">
        <f t="shared" si="6"/>
        <v/>
      </c>
      <c r="BG25" s="40" t="str">
        <f t="shared" si="6"/>
        <v/>
      </c>
      <c r="BH25" s="40" t="str">
        <f t="shared" si="7"/>
        <v/>
      </c>
      <c r="BI25" s="40" t="str">
        <f t="shared" si="7"/>
        <v/>
      </c>
      <c r="BJ25" s="40" t="str">
        <f t="shared" si="7"/>
        <v/>
      </c>
      <c r="BK25" s="40" t="str">
        <f t="shared" si="7"/>
        <v/>
      </c>
      <c r="BL25" s="40" t="str">
        <f t="shared" si="7"/>
        <v/>
      </c>
      <c r="BM25" s="40" t="str">
        <f t="shared" si="7"/>
        <v/>
      </c>
      <c r="BN25" s="40" t="str">
        <f t="shared" si="7"/>
        <v/>
      </c>
      <c r="BO25" s="40" t="str">
        <f t="shared" si="7"/>
        <v/>
      </c>
      <c r="BP25" s="40" t="str">
        <f t="shared" si="7"/>
        <v/>
      </c>
      <c r="BQ25" s="40" t="str">
        <f t="shared" si="7"/>
        <v/>
      </c>
      <c r="BR25" s="40" t="str">
        <f t="shared" si="7"/>
        <v/>
      </c>
      <c r="BS25" s="40" t="str">
        <f t="shared" si="7"/>
        <v/>
      </c>
      <c r="BT25" s="41">
        <f t="shared" si="9"/>
        <v>41235.414442818583</v>
      </c>
    </row>
    <row r="26" spans="1:72" ht="13.5" customHeight="1">
      <c r="A26" s="670" t="s">
        <v>317</v>
      </c>
      <c r="B26" s="689" t="str">
        <f>INDEX('S-Collection'!$C$6:$C$41,MATCH(Table195781011121314236172728151617187[[#This Row],[a]],'S-Collection'!$B$6:$B$41,0))</f>
        <v>375 mm Gravity Sewer</v>
      </c>
      <c r="C26" s="671">
        <f>INDEX('S-Collection'!$F$6:$F$41,MATCH(Table195781011121314236172728151617187[[#This Row],[a]],'S-Collection'!$B$6:$B$41,0))</f>
        <v>2049</v>
      </c>
      <c r="D26" s="672">
        <f>INDEX('S-Collection'!$G$6:$G$41,MATCH(Table195781011121314236172728151617187[[#This Row],[a]],'S-Collection'!$B$6:$B$41,0))</f>
        <v>2050</v>
      </c>
      <c r="E26" s="671">
        <f t="shared" ref="E26:E27" si="13">(D26-C26)+1</f>
        <v>2</v>
      </c>
      <c r="F26" s="673">
        <f>INDEX('S-Collection'!$P$6:$P$41,MATCH(Table195781011121314236172728151617187[[#This Row],[a]],'S-Collection'!$B$6:$B$41,0))</f>
        <v>59400</v>
      </c>
      <c r="G26" s="674"/>
      <c r="H26" s="675">
        <f>+Table195781011121314236172728151617187[[#This Row],[f]]-Table195781011121314236172728151617187[[#This Row],[g]]</f>
        <v>59400</v>
      </c>
      <c r="I26" s="676"/>
      <c r="J26" s="677"/>
      <c r="K26" s="678">
        <f>(Table195781011121314236172728151617187[[#This Row],[h]])</f>
        <v>59400</v>
      </c>
      <c r="L26" s="40" t="str">
        <f t="shared" si="4"/>
        <v/>
      </c>
      <c r="M26" s="40" t="str">
        <f t="shared" si="4"/>
        <v/>
      </c>
      <c r="N26" s="40" t="str">
        <f t="shared" si="4"/>
        <v/>
      </c>
      <c r="O26" s="40" t="str">
        <f t="shared" si="4"/>
        <v/>
      </c>
      <c r="P26" s="40" t="str">
        <f t="shared" si="4"/>
        <v/>
      </c>
      <c r="Q26" s="40" t="str">
        <f t="shared" si="4"/>
        <v/>
      </c>
      <c r="R26" s="40" t="str">
        <f t="shared" si="4"/>
        <v/>
      </c>
      <c r="S26" s="40" t="str">
        <f t="shared" si="4"/>
        <v/>
      </c>
      <c r="T26" s="40" t="str">
        <f t="shared" si="4"/>
        <v/>
      </c>
      <c r="U26" s="40" t="str">
        <f t="shared" si="4"/>
        <v/>
      </c>
      <c r="V26" s="40" t="str">
        <f t="shared" si="4"/>
        <v/>
      </c>
      <c r="W26" s="40" t="str">
        <f t="shared" si="4"/>
        <v/>
      </c>
      <c r="X26" s="40" t="str">
        <f t="shared" si="4"/>
        <v/>
      </c>
      <c r="Y26" s="40" t="str">
        <f t="shared" si="4"/>
        <v/>
      </c>
      <c r="Z26" s="40" t="str">
        <f t="shared" si="4"/>
        <v/>
      </c>
      <c r="AA26" s="40" t="str">
        <f t="shared" si="4"/>
        <v/>
      </c>
      <c r="AB26" s="40" t="str">
        <f t="shared" si="5"/>
        <v/>
      </c>
      <c r="AC26" s="40" t="str">
        <f t="shared" si="5"/>
        <v/>
      </c>
      <c r="AD26" s="40" t="str">
        <f t="shared" si="5"/>
        <v/>
      </c>
      <c r="AE26" s="40" t="str">
        <f t="shared" si="5"/>
        <v/>
      </c>
      <c r="AF26" s="40" t="str">
        <f t="shared" si="5"/>
        <v/>
      </c>
      <c r="AG26" s="40" t="str">
        <f t="shared" si="5"/>
        <v/>
      </c>
      <c r="AH26" s="40" t="str">
        <f t="shared" si="5"/>
        <v/>
      </c>
      <c r="AI26" s="40">
        <f t="shared" si="5"/>
        <v>52408.937270832037</v>
      </c>
      <c r="AJ26" s="40">
        <f t="shared" si="5"/>
        <v>53719.160702602836</v>
      </c>
      <c r="AK26" s="40" t="str">
        <f t="shared" si="5"/>
        <v/>
      </c>
      <c r="AL26" s="40" t="str">
        <f t="shared" si="5"/>
        <v/>
      </c>
      <c r="AM26" s="40" t="str">
        <f t="shared" si="5"/>
        <v/>
      </c>
      <c r="AN26" s="40" t="str">
        <f t="shared" si="5"/>
        <v/>
      </c>
      <c r="AO26" s="40" t="str">
        <f t="shared" si="5"/>
        <v/>
      </c>
      <c r="AP26" s="40" t="str">
        <f t="shared" si="5"/>
        <v/>
      </c>
      <c r="AQ26" s="40" t="str">
        <f t="shared" ref="AB26:AQ33" si="14">IF(AND(AQ$10=$C26,AQ$10=$D26),(($K26/$E26)*AQ$6),IF(AND(AQ$10&gt;=$C26,AQ$10&lt;=$D26),(($K26/$E26)*AQ$6),""))</f>
        <v/>
      </c>
      <c r="AR26" s="40" t="str">
        <f t="shared" si="6"/>
        <v/>
      </c>
      <c r="AS26" s="40" t="str">
        <f t="shared" si="6"/>
        <v/>
      </c>
      <c r="AT26" s="40" t="str">
        <f t="shared" si="6"/>
        <v/>
      </c>
      <c r="AU26" s="40" t="str">
        <f t="shared" si="6"/>
        <v/>
      </c>
      <c r="AV26" s="40" t="str">
        <f t="shared" si="6"/>
        <v/>
      </c>
      <c r="AW26" s="40" t="str">
        <f t="shared" si="6"/>
        <v/>
      </c>
      <c r="AX26" s="40" t="str">
        <f t="shared" si="6"/>
        <v/>
      </c>
      <c r="AY26" s="40" t="str">
        <f t="shared" si="6"/>
        <v/>
      </c>
      <c r="AZ26" s="40" t="str">
        <f t="shared" si="6"/>
        <v/>
      </c>
      <c r="BA26" s="40" t="str">
        <f t="shared" si="6"/>
        <v/>
      </c>
      <c r="BB26" s="40" t="str">
        <f t="shared" si="6"/>
        <v/>
      </c>
      <c r="BC26" s="40" t="str">
        <f t="shared" si="6"/>
        <v/>
      </c>
      <c r="BD26" s="40" t="str">
        <f t="shared" si="6"/>
        <v/>
      </c>
      <c r="BE26" s="40" t="str">
        <f t="shared" si="6"/>
        <v/>
      </c>
      <c r="BF26" s="40" t="str">
        <f t="shared" si="6"/>
        <v/>
      </c>
      <c r="BG26" s="40" t="str">
        <f t="shared" ref="AR26:BG33" si="15">IF(AND(BG$10=$C26,BG$10=$D26),(($K26/$E26)*BG$6),IF(AND(BG$10&gt;=$C26,BG$10&lt;=$D26),(($K26/$E26)*BG$6),""))</f>
        <v/>
      </c>
      <c r="BH26" s="40" t="str">
        <f t="shared" si="7"/>
        <v/>
      </c>
      <c r="BI26" s="40" t="str">
        <f t="shared" si="7"/>
        <v/>
      </c>
      <c r="BJ26" s="40" t="str">
        <f t="shared" si="7"/>
        <v/>
      </c>
      <c r="BK26" s="40" t="str">
        <f t="shared" si="7"/>
        <v/>
      </c>
      <c r="BL26" s="40" t="str">
        <f t="shared" si="7"/>
        <v/>
      </c>
      <c r="BM26" s="40" t="str">
        <f t="shared" si="7"/>
        <v/>
      </c>
      <c r="BN26" s="40" t="str">
        <f t="shared" si="7"/>
        <v/>
      </c>
      <c r="BO26" s="40" t="str">
        <f t="shared" si="7"/>
        <v/>
      </c>
      <c r="BP26" s="40" t="str">
        <f t="shared" si="7"/>
        <v/>
      </c>
      <c r="BQ26" s="40" t="str">
        <f t="shared" si="7"/>
        <v/>
      </c>
      <c r="BR26" s="40" t="str">
        <f t="shared" si="7"/>
        <v/>
      </c>
      <c r="BS26" s="40" t="str">
        <f t="shared" si="7"/>
        <v/>
      </c>
      <c r="BT26" s="41">
        <f t="shared" si="9"/>
        <v>106128.09797343487</v>
      </c>
    </row>
    <row r="27" spans="1:72" ht="13.5" customHeight="1">
      <c r="A27" s="670" t="s">
        <v>318</v>
      </c>
      <c r="B27" s="689" t="str">
        <f>INDEX('S-Collection'!$C$6:$C$41,MATCH(Table195781011121314236172728151617187[[#This Row],[a]],'S-Collection'!$B$6:$B$41,0))</f>
        <v>375 mm Gravity Sewer</v>
      </c>
      <c r="C27" s="671">
        <f>INDEX('S-Collection'!$F$6:$F$41,MATCH(Table195781011121314236172728151617187[[#This Row],[a]],'S-Collection'!$B$6:$B$41,0))</f>
        <v>2049</v>
      </c>
      <c r="D27" s="672">
        <f>INDEX('S-Collection'!$G$6:$G$41,MATCH(Table195781011121314236172728151617187[[#This Row],[a]],'S-Collection'!$B$6:$B$41,0))</f>
        <v>2050</v>
      </c>
      <c r="E27" s="671">
        <f t="shared" si="13"/>
        <v>2</v>
      </c>
      <c r="F27" s="673">
        <f>INDEX('S-Collection'!$P$6:$P$41,MATCH(Table195781011121314236172728151617187[[#This Row],[a]],'S-Collection'!$B$6:$B$41,0))</f>
        <v>8370</v>
      </c>
      <c r="G27" s="674"/>
      <c r="H27" s="675">
        <f>+Table195781011121314236172728151617187[[#This Row],[f]]-Table195781011121314236172728151617187[[#This Row],[g]]</f>
        <v>8370</v>
      </c>
      <c r="I27" s="676"/>
      <c r="J27" s="677"/>
      <c r="K27" s="678">
        <f>(Table195781011121314236172728151617187[[#This Row],[h]])</f>
        <v>8370</v>
      </c>
      <c r="L27" s="40" t="str">
        <f t="shared" ref="L27:AA33" si="16">IF(AND(L$10=$C27,L$10=$D27),(($K27/$E27)*L$6),IF(AND(L$10&gt;=$C27,L$10&lt;=$D27),(($K27/$E27)*L$6),""))</f>
        <v/>
      </c>
      <c r="M27" s="40" t="str">
        <f t="shared" si="16"/>
        <v/>
      </c>
      <c r="N27" s="40" t="str">
        <f t="shared" si="16"/>
        <v/>
      </c>
      <c r="O27" s="40" t="str">
        <f t="shared" si="16"/>
        <v/>
      </c>
      <c r="P27" s="40" t="str">
        <f t="shared" si="16"/>
        <v/>
      </c>
      <c r="Q27" s="40" t="str">
        <f t="shared" si="16"/>
        <v/>
      </c>
      <c r="R27" s="40" t="str">
        <f t="shared" si="16"/>
        <v/>
      </c>
      <c r="S27" s="40" t="str">
        <f t="shared" si="16"/>
        <v/>
      </c>
      <c r="T27" s="40" t="str">
        <f t="shared" si="16"/>
        <v/>
      </c>
      <c r="U27" s="40" t="str">
        <f t="shared" si="16"/>
        <v/>
      </c>
      <c r="V27" s="40" t="str">
        <f t="shared" si="16"/>
        <v/>
      </c>
      <c r="W27" s="40" t="str">
        <f t="shared" si="16"/>
        <v/>
      </c>
      <c r="X27" s="40" t="str">
        <f t="shared" si="16"/>
        <v/>
      </c>
      <c r="Y27" s="40" t="str">
        <f t="shared" si="16"/>
        <v/>
      </c>
      <c r="Z27" s="40" t="str">
        <f t="shared" si="16"/>
        <v/>
      </c>
      <c r="AA27" s="40" t="str">
        <f t="shared" si="16"/>
        <v/>
      </c>
      <c r="AB27" s="40" t="str">
        <f t="shared" si="14"/>
        <v/>
      </c>
      <c r="AC27" s="40" t="str">
        <f t="shared" si="14"/>
        <v/>
      </c>
      <c r="AD27" s="40" t="str">
        <f t="shared" si="14"/>
        <v/>
      </c>
      <c r="AE27" s="40" t="str">
        <f t="shared" si="14"/>
        <v/>
      </c>
      <c r="AF27" s="40" t="str">
        <f t="shared" si="14"/>
        <v/>
      </c>
      <c r="AG27" s="40" t="str">
        <f t="shared" si="14"/>
        <v/>
      </c>
      <c r="AH27" s="40" t="str">
        <f t="shared" si="14"/>
        <v/>
      </c>
      <c r="AI27" s="40">
        <f t="shared" si="14"/>
        <v>7384.895706344515</v>
      </c>
      <c r="AJ27" s="40">
        <f t="shared" si="14"/>
        <v>7569.5180990031276</v>
      </c>
      <c r="AK27" s="40" t="str">
        <f t="shared" si="14"/>
        <v/>
      </c>
      <c r="AL27" s="40" t="str">
        <f t="shared" si="14"/>
        <v/>
      </c>
      <c r="AM27" s="40" t="str">
        <f t="shared" si="14"/>
        <v/>
      </c>
      <c r="AN27" s="40" t="str">
        <f t="shared" si="14"/>
        <v/>
      </c>
      <c r="AO27" s="40" t="str">
        <f t="shared" si="14"/>
        <v/>
      </c>
      <c r="AP27" s="40" t="str">
        <f t="shared" si="14"/>
        <v/>
      </c>
      <c r="AQ27" s="40" t="str">
        <f t="shared" si="14"/>
        <v/>
      </c>
      <c r="AR27" s="40" t="str">
        <f t="shared" si="15"/>
        <v/>
      </c>
      <c r="AS27" s="40" t="str">
        <f t="shared" si="15"/>
        <v/>
      </c>
      <c r="AT27" s="40" t="str">
        <f t="shared" si="15"/>
        <v/>
      </c>
      <c r="AU27" s="40" t="str">
        <f t="shared" si="15"/>
        <v/>
      </c>
      <c r="AV27" s="40" t="str">
        <f t="shared" si="15"/>
        <v/>
      </c>
      <c r="AW27" s="40" t="str">
        <f t="shared" si="15"/>
        <v/>
      </c>
      <c r="AX27" s="40" t="str">
        <f t="shared" si="15"/>
        <v/>
      </c>
      <c r="AY27" s="40" t="str">
        <f t="shared" si="15"/>
        <v/>
      </c>
      <c r="AZ27" s="40" t="str">
        <f t="shared" si="15"/>
        <v/>
      </c>
      <c r="BA27" s="40" t="str">
        <f t="shared" si="15"/>
        <v/>
      </c>
      <c r="BB27" s="40" t="str">
        <f t="shared" si="15"/>
        <v/>
      </c>
      <c r="BC27" s="40" t="str">
        <f t="shared" si="15"/>
        <v/>
      </c>
      <c r="BD27" s="40" t="str">
        <f t="shared" si="15"/>
        <v/>
      </c>
      <c r="BE27" s="40" t="str">
        <f t="shared" si="15"/>
        <v/>
      </c>
      <c r="BF27" s="40" t="str">
        <f t="shared" si="15"/>
        <v/>
      </c>
      <c r="BG27" s="40" t="str">
        <f t="shared" si="15"/>
        <v/>
      </c>
      <c r="BH27" s="40" t="str">
        <f t="shared" si="7"/>
        <v/>
      </c>
      <c r="BI27" s="40" t="str">
        <f t="shared" si="7"/>
        <v/>
      </c>
      <c r="BJ27" s="40" t="str">
        <f t="shared" si="7"/>
        <v/>
      </c>
      <c r="BK27" s="40" t="str">
        <f t="shared" si="7"/>
        <v/>
      </c>
      <c r="BL27" s="40" t="str">
        <f t="shared" si="7"/>
        <v/>
      </c>
      <c r="BM27" s="40" t="str">
        <f t="shared" si="7"/>
        <v/>
      </c>
      <c r="BN27" s="40" t="str">
        <f t="shared" si="7"/>
        <v/>
      </c>
      <c r="BO27" s="40" t="str">
        <f t="shared" si="7"/>
        <v/>
      </c>
      <c r="BP27" s="40" t="str">
        <f t="shared" si="7"/>
        <v/>
      </c>
      <c r="BQ27" s="40" t="str">
        <f t="shared" si="7"/>
        <v/>
      </c>
      <c r="BR27" s="40" t="str">
        <f t="shared" si="7"/>
        <v/>
      </c>
      <c r="BS27" s="40" t="str">
        <f t="shared" si="7"/>
        <v/>
      </c>
      <c r="BT27" s="41">
        <f t="shared" si="9"/>
        <v>14954.413805347642</v>
      </c>
    </row>
    <row r="28" spans="1:72" ht="13.5" customHeight="1">
      <c r="A28" s="670" t="s">
        <v>319</v>
      </c>
      <c r="B28" s="689" t="str">
        <f>INDEX('S-Collection'!$C$6:$C$41,MATCH(Table195781011121314236172728151617187[[#This Row],[a]],'S-Collection'!$B$6:$B$41,0))</f>
        <v>375 mm Gravity Sewer</v>
      </c>
      <c r="C28" s="671">
        <f>INDEX('S-Collection'!$F$6:$F$41,MATCH(Table195781011121314236172728151617187[[#This Row],[a]],'S-Collection'!$B$6:$B$41,0))</f>
        <v>2049</v>
      </c>
      <c r="D28" s="672">
        <f>INDEX('S-Collection'!$G$6:$G$41,MATCH(Table195781011121314236172728151617187[[#This Row],[a]],'S-Collection'!$B$6:$B$41,0))</f>
        <v>2050</v>
      </c>
      <c r="E28" s="671">
        <f>(D28-C28)+1</f>
        <v>2</v>
      </c>
      <c r="F28" s="673">
        <f>INDEX('S-Collection'!$P$6:$P$41,MATCH(Table195781011121314236172728151617187[[#This Row],[a]],'S-Collection'!$B$6:$B$41,0))</f>
        <v>40824</v>
      </c>
      <c r="G28" s="674"/>
      <c r="H28" s="675">
        <f>+Table195781011121314236172728151617187[[#This Row],[f]]-Table195781011121314236172728151617187[[#This Row],[g]]</f>
        <v>40824</v>
      </c>
      <c r="I28" s="676"/>
      <c r="J28" s="677"/>
      <c r="K28" s="678">
        <f>(Table195781011121314236172728151617187[[#This Row],[h]])</f>
        <v>40824</v>
      </c>
      <c r="L28" s="40" t="str">
        <f t="shared" si="16"/>
        <v/>
      </c>
      <c r="M28" s="40" t="str">
        <f t="shared" si="16"/>
        <v/>
      </c>
      <c r="N28" s="40" t="str">
        <f t="shared" si="16"/>
        <v/>
      </c>
      <c r="O28" s="40" t="str">
        <f t="shared" si="16"/>
        <v/>
      </c>
      <c r="P28" s="40" t="str">
        <f t="shared" si="16"/>
        <v/>
      </c>
      <c r="Q28" s="40" t="str">
        <f t="shared" si="16"/>
        <v/>
      </c>
      <c r="R28" s="40" t="str">
        <f t="shared" si="16"/>
        <v/>
      </c>
      <c r="S28" s="40" t="str">
        <f t="shared" si="16"/>
        <v/>
      </c>
      <c r="T28" s="40" t="str">
        <f t="shared" si="16"/>
        <v/>
      </c>
      <c r="U28" s="40" t="str">
        <f t="shared" si="16"/>
        <v/>
      </c>
      <c r="V28" s="40" t="str">
        <f t="shared" si="16"/>
        <v/>
      </c>
      <c r="W28" s="40" t="str">
        <f t="shared" si="16"/>
        <v/>
      </c>
      <c r="X28" s="40" t="str">
        <f t="shared" si="16"/>
        <v/>
      </c>
      <c r="Y28" s="40" t="str">
        <f t="shared" si="16"/>
        <v/>
      </c>
      <c r="Z28" s="40" t="str">
        <f t="shared" si="16"/>
        <v/>
      </c>
      <c r="AA28" s="40" t="str">
        <f t="shared" si="16"/>
        <v/>
      </c>
      <c r="AB28" s="40" t="str">
        <f t="shared" si="14"/>
        <v/>
      </c>
      <c r="AC28" s="40" t="str">
        <f t="shared" si="14"/>
        <v/>
      </c>
      <c r="AD28" s="40" t="str">
        <f t="shared" si="14"/>
        <v/>
      </c>
      <c r="AE28" s="40" t="str">
        <f t="shared" si="14"/>
        <v/>
      </c>
      <c r="AF28" s="40" t="str">
        <f t="shared" si="14"/>
        <v/>
      </c>
      <c r="AG28" s="40" t="str">
        <f t="shared" si="14"/>
        <v/>
      </c>
      <c r="AH28" s="40" t="str">
        <f t="shared" si="14"/>
        <v/>
      </c>
      <c r="AI28" s="40">
        <f t="shared" si="14"/>
        <v>36019.23325159002</v>
      </c>
      <c r="AJ28" s="40">
        <f t="shared" si="14"/>
        <v>36919.714082879771</v>
      </c>
      <c r="AK28" s="40" t="str">
        <f t="shared" si="14"/>
        <v/>
      </c>
      <c r="AL28" s="40" t="str">
        <f t="shared" si="14"/>
        <v/>
      </c>
      <c r="AM28" s="40" t="str">
        <f t="shared" si="14"/>
        <v/>
      </c>
      <c r="AN28" s="40" t="str">
        <f t="shared" si="14"/>
        <v/>
      </c>
      <c r="AO28" s="40" t="str">
        <f t="shared" si="14"/>
        <v/>
      </c>
      <c r="AP28" s="40" t="str">
        <f t="shared" si="14"/>
        <v/>
      </c>
      <c r="AQ28" s="40" t="str">
        <f t="shared" si="14"/>
        <v/>
      </c>
      <c r="AR28" s="40" t="str">
        <f t="shared" si="15"/>
        <v/>
      </c>
      <c r="AS28" s="40" t="str">
        <f t="shared" si="15"/>
        <v/>
      </c>
      <c r="AT28" s="40" t="str">
        <f t="shared" si="15"/>
        <v/>
      </c>
      <c r="AU28" s="40" t="str">
        <f t="shared" si="15"/>
        <v/>
      </c>
      <c r="AV28" s="40" t="str">
        <f t="shared" si="15"/>
        <v/>
      </c>
      <c r="AW28" s="40" t="str">
        <f t="shared" si="15"/>
        <v/>
      </c>
      <c r="AX28" s="40" t="str">
        <f t="shared" si="15"/>
        <v/>
      </c>
      <c r="AY28" s="40" t="str">
        <f t="shared" si="15"/>
        <v/>
      </c>
      <c r="AZ28" s="40" t="str">
        <f t="shared" si="15"/>
        <v/>
      </c>
      <c r="BA28" s="40" t="str">
        <f t="shared" si="15"/>
        <v/>
      </c>
      <c r="BB28" s="40" t="str">
        <f t="shared" si="15"/>
        <v/>
      </c>
      <c r="BC28" s="40" t="str">
        <f t="shared" si="15"/>
        <v/>
      </c>
      <c r="BD28" s="40" t="str">
        <f t="shared" si="15"/>
        <v/>
      </c>
      <c r="BE28" s="40" t="str">
        <f t="shared" si="15"/>
        <v/>
      </c>
      <c r="BF28" s="40" t="str">
        <f t="shared" si="15"/>
        <v/>
      </c>
      <c r="BG28" s="40" t="str">
        <f t="shared" si="15"/>
        <v/>
      </c>
      <c r="BH28" s="40" t="str">
        <f t="shared" ref="BH28:BS33" si="17">IF(AND(BH$10=$C28,BH$10=$D28),(($K28/$E28)*BH$6),IF(AND(BH$10&gt;=$C28,BH$10&lt;=$D28),(($K28/$E28)*BH$6),""))</f>
        <v/>
      </c>
      <c r="BI28" s="40" t="str">
        <f t="shared" si="17"/>
        <v/>
      </c>
      <c r="BJ28" s="40" t="str">
        <f t="shared" si="17"/>
        <v/>
      </c>
      <c r="BK28" s="40" t="str">
        <f t="shared" si="17"/>
        <v/>
      </c>
      <c r="BL28" s="40" t="str">
        <f t="shared" si="17"/>
        <v/>
      </c>
      <c r="BM28" s="40" t="str">
        <f t="shared" si="17"/>
        <v/>
      </c>
      <c r="BN28" s="40" t="str">
        <f t="shared" si="17"/>
        <v/>
      </c>
      <c r="BO28" s="40" t="str">
        <f t="shared" si="17"/>
        <v/>
      </c>
      <c r="BP28" s="40" t="str">
        <f t="shared" si="17"/>
        <v/>
      </c>
      <c r="BQ28" s="40" t="str">
        <f t="shared" si="17"/>
        <v/>
      </c>
      <c r="BR28" s="40" t="str">
        <f t="shared" si="17"/>
        <v/>
      </c>
      <c r="BS28" s="40" t="str">
        <f t="shared" si="17"/>
        <v/>
      </c>
      <c r="BT28" s="41">
        <f>SUM(L28:BS28)</f>
        <v>72938.947334469791</v>
      </c>
    </row>
    <row r="29" spans="1:72" ht="13.5" customHeight="1">
      <c r="A29" s="670" t="s">
        <v>320</v>
      </c>
      <c r="B29" s="689" t="str">
        <f>INDEX('S-Collection'!$C$6:$C$41,MATCH(Table195781011121314236172728151617187[[#This Row],[a]],'S-Collection'!$B$6:$B$41,0))</f>
        <v>375 mm Gravity Sewer</v>
      </c>
      <c r="C29" s="671">
        <f>INDEX('S-Collection'!$F$6:$F$41,MATCH(Table195781011121314236172728151617187[[#This Row],[a]],'S-Collection'!$B$6:$B$41,0))</f>
        <v>2049</v>
      </c>
      <c r="D29" s="672">
        <f>INDEX('S-Collection'!$G$6:$G$41,MATCH(Table195781011121314236172728151617187[[#This Row],[a]],'S-Collection'!$B$6:$B$41,0))</f>
        <v>2050</v>
      </c>
      <c r="E29" s="671">
        <f t="shared" ref="E29:E30" si="18">(D29-C29)+1</f>
        <v>2</v>
      </c>
      <c r="F29" s="673">
        <f>INDEX('S-Collection'!$P$6:$P$41,MATCH(Table195781011121314236172728151617187[[#This Row],[a]],'S-Collection'!$B$6:$B$41,0))</f>
        <v>19494</v>
      </c>
      <c r="G29" s="674"/>
      <c r="H29" s="675">
        <f>+Table195781011121314236172728151617187[[#This Row],[f]]-Table195781011121314236172728151617187[[#This Row],[g]]</f>
        <v>19494</v>
      </c>
      <c r="I29" s="676"/>
      <c r="J29" s="677"/>
      <c r="K29" s="678">
        <f>(Table195781011121314236172728151617187[[#This Row],[h]])</f>
        <v>19494</v>
      </c>
      <c r="L29" s="40" t="str">
        <f t="shared" si="16"/>
        <v/>
      </c>
      <c r="M29" s="40" t="str">
        <f t="shared" si="16"/>
        <v/>
      </c>
      <c r="N29" s="40" t="str">
        <f t="shared" si="16"/>
        <v/>
      </c>
      <c r="O29" s="40" t="str">
        <f t="shared" si="16"/>
        <v/>
      </c>
      <c r="P29" s="40" t="str">
        <f t="shared" si="16"/>
        <v/>
      </c>
      <c r="Q29" s="40" t="str">
        <f t="shared" si="16"/>
        <v/>
      </c>
      <c r="R29" s="40" t="str">
        <f t="shared" si="16"/>
        <v/>
      </c>
      <c r="S29" s="40" t="str">
        <f t="shared" si="16"/>
        <v/>
      </c>
      <c r="T29" s="40" t="str">
        <f t="shared" si="16"/>
        <v/>
      </c>
      <c r="U29" s="40" t="str">
        <f t="shared" si="16"/>
        <v/>
      </c>
      <c r="V29" s="40" t="str">
        <f t="shared" si="16"/>
        <v/>
      </c>
      <c r="W29" s="40" t="str">
        <f t="shared" si="16"/>
        <v/>
      </c>
      <c r="X29" s="40" t="str">
        <f t="shared" si="16"/>
        <v/>
      </c>
      <c r="Y29" s="40" t="str">
        <f t="shared" si="16"/>
        <v/>
      </c>
      <c r="Z29" s="40" t="str">
        <f t="shared" si="16"/>
        <v/>
      </c>
      <c r="AA29" s="40" t="str">
        <f t="shared" si="16"/>
        <v/>
      </c>
      <c r="AB29" s="40" t="str">
        <f t="shared" si="14"/>
        <v/>
      </c>
      <c r="AC29" s="40" t="str">
        <f t="shared" si="14"/>
        <v/>
      </c>
      <c r="AD29" s="40" t="str">
        <f t="shared" si="14"/>
        <v/>
      </c>
      <c r="AE29" s="40" t="str">
        <f t="shared" si="14"/>
        <v/>
      </c>
      <c r="AF29" s="40" t="str">
        <f t="shared" si="14"/>
        <v/>
      </c>
      <c r="AG29" s="40" t="str">
        <f t="shared" si="14"/>
        <v/>
      </c>
      <c r="AH29" s="40" t="str">
        <f t="shared" si="14"/>
        <v/>
      </c>
      <c r="AI29" s="40">
        <f t="shared" si="14"/>
        <v>17199.660322518514</v>
      </c>
      <c r="AJ29" s="40">
        <f t="shared" si="14"/>
        <v>17629.651830581475</v>
      </c>
      <c r="AK29" s="40" t="str">
        <f t="shared" si="14"/>
        <v/>
      </c>
      <c r="AL29" s="40" t="str">
        <f t="shared" si="14"/>
        <v/>
      </c>
      <c r="AM29" s="40" t="str">
        <f t="shared" si="14"/>
        <v/>
      </c>
      <c r="AN29" s="40" t="str">
        <f t="shared" si="14"/>
        <v/>
      </c>
      <c r="AO29" s="40" t="str">
        <f t="shared" si="14"/>
        <v/>
      </c>
      <c r="AP29" s="40" t="str">
        <f t="shared" si="14"/>
        <v/>
      </c>
      <c r="AQ29" s="40" t="str">
        <f t="shared" si="14"/>
        <v/>
      </c>
      <c r="AR29" s="40" t="str">
        <f t="shared" si="15"/>
        <v/>
      </c>
      <c r="AS29" s="40" t="str">
        <f t="shared" si="15"/>
        <v/>
      </c>
      <c r="AT29" s="40" t="str">
        <f t="shared" si="15"/>
        <v/>
      </c>
      <c r="AU29" s="40" t="str">
        <f t="shared" si="15"/>
        <v/>
      </c>
      <c r="AV29" s="40" t="str">
        <f t="shared" si="15"/>
        <v/>
      </c>
      <c r="AW29" s="40" t="str">
        <f t="shared" si="15"/>
        <v/>
      </c>
      <c r="AX29" s="40" t="str">
        <f t="shared" si="15"/>
        <v/>
      </c>
      <c r="AY29" s="40" t="str">
        <f t="shared" si="15"/>
        <v/>
      </c>
      <c r="AZ29" s="40" t="str">
        <f t="shared" si="15"/>
        <v/>
      </c>
      <c r="BA29" s="40" t="str">
        <f t="shared" si="15"/>
        <v/>
      </c>
      <c r="BB29" s="40" t="str">
        <f t="shared" si="15"/>
        <v/>
      </c>
      <c r="BC29" s="40" t="str">
        <f t="shared" si="15"/>
        <v/>
      </c>
      <c r="BD29" s="40" t="str">
        <f t="shared" si="15"/>
        <v/>
      </c>
      <c r="BE29" s="40" t="str">
        <f t="shared" si="15"/>
        <v/>
      </c>
      <c r="BF29" s="40" t="str">
        <f t="shared" si="15"/>
        <v/>
      </c>
      <c r="BG29" s="40" t="str">
        <f t="shared" si="15"/>
        <v/>
      </c>
      <c r="BH29" s="40" t="str">
        <f t="shared" si="17"/>
        <v/>
      </c>
      <c r="BI29" s="40" t="str">
        <f t="shared" si="17"/>
        <v/>
      </c>
      <c r="BJ29" s="40" t="str">
        <f t="shared" si="17"/>
        <v/>
      </c>
      <c r="BK29" s="40" t="str">
        <f t="shared" si="17"/>
        <v/>
      </c>
      <c r="BL29" s="40" t="str">
        <f t="shared" si="17"/>
        <v/>
      </c>
      <c r="BM29" s="40" t="str">
        <f t="shared" si="17"/>
        <v/>
      </c>
      <c r="BN29" s="40" t="str">
        <f t="shared" si="17"/>
        <v/>
      </c>
      <c r="BO29" s="40" t="str">
        <f t="shared" si="17"/>
        <v/>
      </c>
      <c r="BP29" s="40" t="str">
        <f t="shared" si="17"/>
        <v/>
      </c>
      <c r="BQ29" s="40" t="str">
        <f t="shared" si="17"/>
        <v/>
      </c>
      <c r="BR29" s="40" t="str">
        <f t="shared" si="17"/>
        <v/>
      </c>
      <c r="BS29" s="40" t="str">
        <f t="shared" si="17"/>
        <v/>
      </c>
      <c r="BT29" s="41">
        <f t="shared" si="9"/>
        <v>34829.312153099992</v>
      </c>
    </row>
    <row r="30" spans="1:72" ht="13.5" customHeight="1">
      <c r="A30" s="670">
        <v>52</v>
      </c>
      <c r="B30" s="689" t="str">
        <f>INDEX('S-Collection'!$C$6:$C$41,MATCH(Table195781011121314236172728151617187[[#This Row],[a]],'S-Collection'!$B$6:$B$41,0))</f>
        <v>375 mm Gravity Sewer</v>
      </c>
      <c r="C30" s="671">
        <f>INDEX('S-Collection'!$F$6:$F$41,MATCH(Table195781011121314236172728151617187[[#This Row],[a]],'S-Collection'!$B$6:$B$41,0))</f>
        <v>2044</v>
      </c>
      <c r="D30" s="672">
        <f>INDEX('S-Collection'!$G$6:$G$41,MATCH(Table195781011121314236172728151617187[[#This Row],[a]],'S-Collection'!$B$6:$B$41,0))</f>
        <v>2045</v>
      </c>
      <c r="E30" s="671">
        <f t="shared" si="18"/>
        <v>2</v>
      </c>
      <c r="F30" s="673">
        <f>INDEX('S-Collection'!$P$6:$P$41,MATCH(Table195781011121314236172728151617187[[#This Row],[a]],'S-Collection'!$B$6:$B$41,0))</f>
        <v>43740</v>
      </c>
      <c r="G30" s="674"/>
      <c r="H30" s="675">
        <f>+Table195781011121314236172728151617187[[#This Row],[f]]-Table195781011121314236172728151617187[[#This Row],[g]]</f>
        <v>43740</v>
      </c>
      <c r="I30" s="676"/>
      <c r="J30" s="677"/>
      <c r="K30" s="678">
        <f>(Table195781011121314236172728151617187[[#This Row],[h]])</f>
        <v>43740</v>
      </c>
      <c r="L30" s="40" t="str">
        <f t="shared" si="16"/>
        <v/>
      </c>
      <c r="M30" s="40" t="str">
        <f t="shared" si="16"/>
        <v/>
      </c>
      <c r="N30" s="40" t="str">
        <f t="shared" si="16"/>
        <v/>
      </c>
      <c r="O30" s="40" t="str">
        <f t="shared" si="16"/>
        <v/>
      </c>
      <c r="P30" s="40" t="str">
        <f t="shared" si="16"/>
        <v/>
      </c>
      <c r="Q30" s="40" t="str">
        <f t="shared" si="16"/>
        <v/>
      </c>
      <c r="R30" s="40" t="str">
        <f t="shared" si="16"/>
        <v/>
      </c>
      <c r="S30" s="40" t="str">
        <f t="shared" si="16"/>
        <v/>
      </c>
      <c r="T30" s="40" t="str">
        <f t="shared" si="16"/>
        <v/>
      </c>
      <c r="U30" s="40" t="str">
        <f t="shared" si="16"/>
        <v/>
      </c>
      <c r="V30" s="40" t="str">
        <f t="shared" si="16"/>
        <v/>
      </c>
      <c r="W30" s="40" t="str">
        <f t="shared" si="16"/>
        <v/>
      </c>
      <c r="X30" s="40" t="str">
        <f t="shared" si="16"/>
        <v/>
      </c>
      <c r="Y30" s="40" t="str">
        <f t="shared" si="16"/>
        <v/>
      </c>
      <c r="Z30" s="40" t="str">
        <f t="shared" si="16"/>
        <v/>
      </c>
      <c r="AA30" s="40" t="str">
        <f t="shared" si="16"/>
        <v/>
      </c>
      <c r="AB30" s="40" t="str">
        <f t="shared" si="14"/>
        <v/>
      </c>
      <c r="AC30" s="40" t="str">
        <f t="shared" si="14"/>
        <v/>
      </c>
      <c r="AD30" s="40">
        <f t="shared" si="14"/>
        <v>34109.736156241219</v>
      </c>
      <c r="AE30" s="40">
        <f t="shared" si="14"/>
        <v>34962.479560147243</v>
      </c>
      <c r="AF30" s="40" t="str">
        <f t="shared" si="14"/>
        <v/>
      </c>
      <c r="AG30" s="40" t="str">
        <f t="shared" si="14"/>
        <v/>
      </c>
      <c r="AH30" s="40" t="str">
        <f t="shared" si="14"/>
        <v/>
      </c>
      <c r="AI30" s="40" t="str">
        <f t="shared" si="14"/>
        <v/>
      </c>
      <c r="AJ30" s="40" t="str">
        <f t="shared" si="14"/>
        <v/>
      </c>
      <c r="AK30" s="40" t="str">
        <f t="shared" si="14"/>
        <v/>
      </c>
      <c r="AL30" s="40" t="str">
        <f t="shared" si="14"/>
        <v/>
      </c>
      <c r="AM30" s="40" t="str">
        <f t="shared" si="14"/>
        <v/>
      </c>
      <c r="AN30" s="40" t="str">
        <f t="shared" si="14"/>
        <v/>
      </c>
      <c r="AO30" s="40" t="str">
        <f t="shared" si="14"/>
        <v/>
      </c>
      <c r="AP30" s="40" t="str">
        <f t="shared" si="14"/>
        <v/>
      </c>
      <c r="AQ30" s="40" t="str">
        <f t="shared" si="14"/>
        <v/>
      </c>
      <c r="AR30" s="40" t="str">
        <f t="shared" si="15"/>
        <v/>
      </c>
      <c r="AS30" s="40" t="str">
        <f t="shared" si="15"/>
        <v/>
      </c>
      <c r="AT30" s="40" t="str">
        <f t="shared" si="15"/>
        <v/>
      </c>
      <c r="AU30" s="40" t="str">
        <f t="shared" si="15"/>
        <v/>
      </c>
      <c r="AV30" s="40" t="str">
        <f t="shared" si="15"/>
        <v/>
      </c>
      <c r="AW30" s="40" t="str">
        <f t="shared" si="15"/>
        <v/>
      </c>
      <c r="AX30" s="40" t="str">
        <f t="shared" si="15"/>
        <v/>
      </c>
      <c r="AY30" s="40" t="str">
        <f t="shared" si="15"/>
        <v/>
      </c>
      <c r="AZ30" s="40" t="str">
        <f t="shared" si="15"/>
        <v/>
      </c>
      <c r="BA30" s="40" t="str">
        <f t="shared" si="15"/>
        <v/>
      </c>
      <c r="BB30" s="40" t="str">
        <f t="shared" si="15"/>
        <v/>
      </c>
      <c r="BC30" s="40" t="str">
        <f t="shared" si="15"/>
        <v/>
      </c>
      <c r="BD30" s="40" t="str">
        <f t="shared" si="15"/>
        <v/>
      </c>
      <c r="BE30" s="40" t="str">
        <f t="shared" si="15"/>
        <v/>
      </c>
      <c r="BF30" s="40" t="str">
        <f t="shared" si="15"/>
        <v/>
      </c>
      <c r="BG30" s="40" t="str">
        <f t="shared" si="15"/>
        <v/>
      </c>
      <c r="BH30" s="40" t="str">
        <f t="shared" si="17"/>
        <v/>
      </c>
      <c r="BI30" s="40" t="str">
        <f t="shared" si="17"/>
        <v/>
      </c>
      <c r="BJ30" s="40" t="str">
        <f t="shared" si="17"/>
        <v/>
      </c>
      <c r="BK30" s="40" t="str">
        <f t="shared" si="17"/>
        <v/>
      </c>
      <c r="BL30" s="40" t="str">
        <f t="shared" si="17"/>
        <v/>
      </c>
      <c r="BM30" s="40" t="str">
        <f t="shared" si="17"/>
        <v/>
      </c>
      <c r="BN30" s="40" t="str">
        <f t="shared" si="17"/>
        <v/>
      </c>
      <c r="BO30" s="40" t="str">
        <f t="shared" si="17"/>
        <v/>
      </c>
      <c r="BP30" s="40" t="str">
        <f t="shared" si="17"/>
        <v/>
      </c>
      <c r="BQ30" s="40" t="str">
        <f t="shared" si="17"/>
        <v/>
      </c>
      <c r="BR30" s="40" t="str">
        <f t="shared" si="17"/>
        <v/>
      </c>
      <c r="BS30" s="40" t="str">
        <f t="shared" si="17"/>
        <v/>
      </c>
      <c r="BT30" s="41">
        <f t="shared" si="9"/>
        <v>69072.215716388455</v>
      </c>
    </row>
    <row r="31" spans="1:72" ht="13.5" customHeight="1">
      <c r="A31" s="670">
        <v>54</v>
      </c>
      <c r="B31" s="689" t="str">
        <f>INDEX('S-Collection'!$C$6:$C$41,MATCH(Table195781011121314236172728151617187[[#This Row],[a]],'S-Collection'!$B$6:$B$41,0))</f>
        <v>375 mm Gravity Sewer</v>
      </c>
      <c r="C31" s="671">
        <f>INDEX('S-Collection'!$F$6:$F$41,MATCH(Table195781011121314236172728151617187[[#This Row],[a]],'S-Collection'!$B$6:$B$41,0))</f>
        <v>2028</v>
      </c>
      <c r="D31" s="672">
        <f>INDEX('S-Collection'!$G$6:$G$41,MATCH(Table195781011121314236172728151617187[[#This Row],[a]],'S-Collection'!$B$6:$B$41,0))</f>
        <v>2029</v>
      </c>
      <c r="E31" s="671">
        <f>(D31-C31)+1</f>
        <v>2</v>
      </c>
      <c r="F31" s="673">
        <f>INDEX('S-Collection'!$P$6:$P$41,MATCH(Table195781011121314236172728151617187[[#This Row],[a]],'S-Collection'!$B$6:$B$41,0))</f>
        <v>22194</v>
      </c>
      <c r="G31" s="674"/>
      <c r="H31" s="675">
        <f>+Table195781011121314236172728151617187[[#This Row],[f]]-Table195781011121314236172728151617187[[#This Row],[g]]</f>
        <v>22194</v>
      </c>
      <c r="I31" s="676"/>
      <c r="J31" s="677"/>
      <c r="K31" s="678">
        <f>(Table195781011121314236172728151617187[[#This Row],[h]])</f>
        <v>22194</v>
      </c>
      <c r="L31" s="40" t="str">
        <f t="shared" si="16"/>
        <v/>
      </c>
      <c r="M31" s="40" t="str">
        <f t="shared" si="16"/>
        <v/>
      </c>
      <c r="N31" s="40">
        <f t="shared" si="16"/>
        <v>11658.785624999999</v>
      </c>
      <c r="O31" s="40">
        <f t="shared" si="16"/>
        <v>11950.255265624999</v>
      </c>
      <c r="P31" s="40" t="str">
        <f t="shared" si="16"/>
        <v/>
      </c>
      <c r="Q31" s="40" t="str">
        <f t="shared" si="16"/>
        <v/>
      </c>
      <c r="R31" s="40" t="str">
        <f t="shared" si="16"/>
        <v/>
      </c>
      <c r="S31" s="40" t="str">
        <f t="shared" si="16"/>
        <v/>
      </c>
      <c r="T31" s="40" t="str">
        <f t="shared" si="16"/>
        <v/>
      </c>
      <c r="U31" s="40" t="str">
        <f t="shared" si="16"/>
        <v/>
      </c>
      <c r="V31" s="40" t="str">
        <f t="shared" si="16"/>
        <v/>
      </c>
      <c r="W31" s="40" t="str">
        <f t="shared" si="16"/>
        <v/>
      </c>
      <c r="X31" s="40" t="str">
        <f t="shared" si="16"/>
        <v/>
      </c>
      <c r="Y31" s="40" t="str">
        <f t="shared" si="16"/>
        <v/>
      </c>
      <c r="Z31" s="40" t="str">
        <f t="shared" si="16"/>
        <v/>
      </c>
      <c r="AA31" s="40" t="str">
        <f t="shared" si="16"/>
        <v/>
      </c>
      <c r="AB31" s="40" t="str">
        <f t="shared" si="14"/>
        <v/>
      </c>
      <c r="AC31" s="40" t="str">
        <f t="shared" si="14"/>
        <v/>
      </c>
      <c r="AD31" s="40" t="str">
        <f t="shared" si="14"/>
        <v/>
      </c>
      <c r="AE31" s="40" t="str">
        <f t="shared" si="14"/>
        <v/>
      </c>
      <c r="AF31" s="40" t="str">
        <f t="shared" si="14"/>
        <v/>
      </c>
      <c r="AG31" s="40" t="str">
        <f t="shared" si="14"/>
        <v/>
      </c>
      <c r="AH31" s="40" t="str">
        <f t="shared" si="14"/>
        <v/>
      </c>
      <c r="AI31" s="40" t="str">
        <f t="shared" si="14"/>
        <v/>
      </c>
      <c r="AJ31" s="40" t="str">
        <f t="shared" si="14"/>
        <v/>
      </c>
      <c r="AK31" s="40" t="str">
        <f t="shared" si="14"/>
        <v/>
      </c>
      <c r="AL31" s="40" t="str">
        <f t="shared" si="14"/>
        <v/>
      </c>
      <c r="AM31" s="40" t="str">
        <f t="shared" si="14"/>
        <v/>
      </c>
      <c r="AN31" s="40" t="str">
        <f t="shared" si="14"/>
        <v/>
      </c>
      <c r="AO31" s="40" t="str">
        <f t="shared" si="14"/>
        <v/>
      </c>
      <c r="AP31" s="40" t="str">
        <f t="shared" si="14"/>
        <v/>
      </c>
      <c r="AQ31" s="40" t="str">
        <f t="shared" si="14"/>
        <v/>
      </c>
      <c r="AR31" s="40" t="str">
        <f t="shared" si="15"/>
        <v/>
      </c>
      <c r="AS31" s="40" t="str">
        <f t="shared" si="15"/>
        <v/>
      </c>
      <c r="AT31" s="40" t="str">
        <f t="shared" si="15"/>
        <v/>
      </c>
      <c r="AU31" s="40" t="str">
        <f t="shared" si="15"/>
        <v/>
      </c>
      <c r="AV31" s="40" t="str">
        <f t="shared" si="15"/>
        <v/>
      </c>
      <c r="AW31" s="40" t="str">
        <f t="shared" si="15"/>
        <v/>
      </c>
      <c r="AX31" s="40" t="str">
        <f t="shared" si="15"/>
        <v/>
      </c>
      <c r="AY31" s="40" t="str">
        <f t="shared" si="15"/>
        <v/>
      </c>
      <c r="AZ31" s="40" t="str">
        <f t="shared" si="15"/>
        <v/>
      </c>
      <c r="BA31" s="40" t="str">
        <f t="shared" si="15"/>
        <v/>
      </c>
      <c r="BB31" s="40" t="str">
        <f t="shared" si="15"/>
        <v/>
      </c>
      <c r="BC31" s="40" t="str">
        <f t="shared" si="15"/>
        <v/>
      </c>
      <c r="BD31" s="40" t="str">
        <f t="shared" si="15"/>
        <v/>
      </c>
      <c r="BE31" s="40" t="str">
        <f t="shared" si="15"/>
        <v/>
      </c>
      <c r="BF31" s="40" t="str">
        <f t="shared" si="15"/>
        <v/>
      </c>
      <c r="BG31" s="40" t="str">
        <f t="shared" si="15"/>
        <v/>
      </c>
      <c r="BH31" s="40" t="str">
        <f t="shared" si="17"/>
        <v/>
      </c>
      <c r="BI31" s="40" t="str">
        <f t="shared" si="17"/>
        <v/>
      </c>
      <c r="BJ31" s="40" t="str">
        <f t="shared" si="17"/>
        <v/>
      </c>
      <c r="BK31" s="40" t="str">
        <f t="shared" si="17"/>
        <v/>
      </c>
      <c r="BL31" s="40" t="str">
        <f t="shared" si="17"/>
        <v/>
      </c>
      <c r="BM31" s="40" t="str">
        <f t="shared" si="17"/>
        <v/>
      </c>
      <c r="BN31" s="40" t="str">
        <f t="shared" si="17"/>
        <v/>
      </c>
      <c r="BO31" s="40" t="str">
        <f t="shared" si="17"/>
        <v/>
      </c>
      <c r="BP31" s="40" t="str">
        <f t="shared" si="17"/>
        <v/>
      </c>
      <c r="BQ31" s="40" t="str">
        <f t="shared" si="17"/>
        <v/>
      </c>
      <c r="BR31" s="40" t="str">
        <f t="shared" si="17"/>
        <v/>
      </c>
      <c r="BS31" s="40" t="str">
        <f t="shared" si="17"/>
        <v/>
      </c>
      <c r="BT31" s="41">
        <f>SUM(L31:BS31)</f>
        <v>23609.040890624998</v>
      </c>
    </row>
    <row r="32" spans="1:72" ht="13.5" customHeight="1">
      <c r="A32" s="670">
        <v>57</v>
      </c>
      <c r="B32" s="689" t="str">
        <f>INDEX('S-Collection'!$C$6:$C$41,MATCH(Table195781011121314236172728151617187[[#This Row],[a]],'S-Collection'!$B$6:$B$41,0))</f>
        <v>375 mm Gravity Sewer</v>
      </c>
      <c r="C32" s="671">
        <f>INDEX('S-Collection'!$F$6:$F$41,MATCH(Table195781011121314236172728151617187[[#This Row],[a]],'S-Collection'!$B$6:$B$41,0))</f>
        <v>2028</v>
      </c>
      <c r="D32" s="672">
        <f>INDEX('S-Collection'!$G$6:$G$41,MATCH(Table195781011121314236172728151617187[[#This Row],[a]],'S-Collection'!$B$6:$B$41,0))</f>
        <v>2029</v>
      </c>
      <c r="E32" s="671">
        <f>(D32-C32)+1</f>
        <v>2</v>
      </c>
      <c r="F32" s="673">
        <f>INDEX('S-Collection'!$P$6:$P$41,MATCH(Table195781011121314236172728151617187[[#This Row],[a]],'S-Collection'!$B$6:$B$41,0))</f>
        <v>28350</v>
      </c>
      <c r="G32" s="674"/>
      <c r="H32" s="675">
        <f>+Table195781011121314236172728151617187[[#This Row],[f]]-Table195781011121314236172728151617187[[#This Row],[g]]</f>
        <v>28350</v>
      </c>
      <c r="I32" s="676"/>
      <c r="J32" s="677"/>
      <c r="K32" s="678">
        <f>(Table195781011121314236172728151617187[[#This Row],[h]])</f>
        <v>28350</v>
      </c>
      <c r="L32" s="40" t="str">
        <f t="shared" si="16"/>
        <v/>
      </c>
      <c r="M32" s="40" t="str">
        <f t="shared" si="16"/>
        <v/>
      </c>
      <c r="N32" s="40">
        <f t="shared" si="16"/>
        <v>14892.609374999998</v>
      </c>
      <c r="O32" s="40">
        <f t="shared" si="16"/>
        <v>15264.924609374999</v>
      </c>
      <c r="P32" s="40" t="str">
        <f t="shared" si="16"/>
        <v/>
      </c>
      <c r="Q32" s="40" t="str">
        <f t="shared" si="16"/>
        <v/>
      </c>
      <c r="R32" s="40" t="str">
        <f t="shared" si="16"/>
        <v/>
      </c>
      <c r="S32" s="40" t="str">
        <f t="shared" si="16"/>
        <v/>
      </c>
      <c r="T32" s="40" t="str">
        <f t="shared" si="16"/>
        <v/>
      </c>
      <c r="U32" s="40" t="str">
        <f t="shared" si="16"/>
        <v/>
      </c>
      <c r="V32" s="40" t="str">
        <f t="shared" si="16"/>
        <v/>
      </c>
      <c r="W32" s="40" t="str">
        <f t="shared" si="16"/>
        <v/>
      </c>
      <c r="X32" s="40" t="str">
        <f t="shared" si="16"/>
        <v/>
      </c>
      <c r="Y32" s="40" t="str">
        <f t="shared" si="16"/>
        <v/>
      </c>
      <c r="Z32" s="40" t="str">
        <f t="shared" si="16"/>
        <v/>
      </c>
      <c r="AA32" s="40" t="str">
        <f t="shared" si="16"/>
        <v/>
      </c>
      <c r="AB32" s="40" t="str">
        <f t="shared" si="14"/>
        <v/>
      </c>
      <c r="AC32" s="40" t="str">
        <f t="shared" si="14"/>
        <v/>
      </c>
      <c r="AD32" s="40" t="str">
        <f t="shared" si="14"/>
        <v/>
      </c>
      <c r="AE32" s="40" t="str">
        <f t="shared" si="14"/>
        <v/>
      </c>
      <c r="AF32" s="40" t="str">
        <f t="shared" si="14"/>
        <v/>
      </c>
      <c r="AG32" s="40" t="str">
        <f t="shared" si="14"/>
        <v/>
      </c>
      <c r="AH32" s="40" t="str">
        <f t="shared" si="14"/>
        <v/>
      </c>
      <c r="AI32" s="40" t="str">
        <f t="shared" si="14"/>
        <v/>
      </c>
      <c r="AJ32" s="40" t="str">
        <f t="shared" si="14"/>
        <v/>
      </c>
      <c r="AK32" s="40" t="str">
        <f t="shared" si="14"/>
        <v/>
      </c>
      <c r="AL32" s="40" t="str">
        <f t="shared" si="14"/>
        <v/>
      </c>
      <c r="AM32" s="40" t="str">
        <f t="shared" si="14"/>
        <v/>
      </c>
      <c r="AN32" s="40" t="str">
        <f t="shared" si="14"/>
        <v/>
      </c>
      <c r="AO32" s="40" t="str">
        <f t="shared" si="14"/>
        <v/>
      </c>
      <c r="AP32" s="40" t="str">
        <f t="shared" si="14"/>
        <v/>
      </c>
      <c r="AQ32" s="40" t="str">
        <f t="shared" si="14"/>
        <v/>
      </c>
      <c r="AR32" s="40" t="str">
        <f t="shared" si="15"/>
        <v/>
      </c>
      <c r="AS32" s="40" t="str">
        <f t="shared" si="15"/>
        <v/>
      </c>
      <c r="AT32" s="40" t="str">
        <f t="shared" si="15"/>
        <v/>
      </c>
      <c r="AU32" s="40" t="str">
        <f t="shared" si="15"/>
        <v/>
      </c>
      <c r="AV32" s="40" t="str">
        <f t="shared" si="15"/>
        <v/>
      </c>
      <c r="AW32" s="40" t="str">
        <f t="shared" si="15"/>
        <v/>
      </c>
      <c r="AX32" s="40" t="str">
        <f t="shared" si="15"/>
        <v/>
      </c>
      <c r="AY32" s="40" t="str">
        <f t="shared" si="15"/>
        <v/>
      </c>
      <c r="AZ32" s="40" t="str">
        <f t="shared" si="15"/>
        <v/>
      </c>
      <c r="BA32" s="40" t="str">
        <f t="shared" si="15"/>
        <v/>
      </c>
      <c r="BB32" s="40" t="str">
        <f t="shared" si="15"/>
        <v/>
      </c>
      <c r="BC32" s="40" t="str">
        <f t="shared" si="15"/>
        <v/>
      </c>
      <c r="BD32" s="40" t="str">
        <f t="shared" si="15"/>
        <v/>
      </c>
      <c r="BE32" s="40" t="str">
        <f t="shared" si="15"/>
        <v/>
      </c>
      <c r="BF32" s="40" t="str">
        <f t="shared" si="15"/>
        <v/>
      </c>
      <c r="BG32" s="40" t="str">
        <f t="shared" si="15"/>
        <v/>
      </c>
      <c r="BH32" s="40" t="str">
        <f t="shared" si="17"/>
        <v/>
      </c>
      <c r="BI32" s="40" t="str">
        <f t="shared" si="17"/>
        <v/>
      </c>
      <c r="BJ32" s="40" t="str">
        <f t="shared" si="17"/>
        <v/>
      </c>
      <c r="BK32" s="40" t="str">
        <f t="shared" si="17"/>
        <v/>
      </c>
      <c r="BL32" s="40" t="str">
        <f t="shared" si="17"/>
        <v/>
      </c>
      <c r="BM32" s="40" t="str">
        <f t="shared" si="17"/>
        <v/>
      </c>
      <c r="BN32" s="40" t="str">
        <f t="shared" si="17"/>
        <v/>
      </c>
      <c r="BO32" s="40" t="str">
        <f t="shared" si="17"/>
        <v/>
      </c>
      <c r="BP32" s="40" t="str">
        <f t="shared" si="17"/>
        <v/>
      </c>
      <c r="BQ32" s="40" t="str">
        <f t="shared" si="17"/>
        <v/>
      </c>
      <c r="BR32" s="40" t="str">
        <f t="shared" si="17"/>
        <v/>
      </c>
      <c r="BS32" s="40" t="str">
        <f t="shared" si="17"/>
        <v/>
      </c>
      <c r="BT32" s="41">
        <f t="shared" si="9"/>
        <v>30157.533984374997</v>
      </c>
    </row>
    <row r="33" spans="1:72" ht="15" thickBot="1">
      <c r="A33" s="106">
        <v>64</v>
      </c>
      <c r="B33" s="191" t="str">
        <f>INDEX('S-Collection'!$C$6:$C$41,MATCH(Table195781011121314236172728151617187[[#This Row],[a]],'S-Collection'!$B$6:$B$41,0))</f>
        <v>375 mm Gravity Sewer</v>
      </c>
      <c r="C33" s="129">
        <f>INDEX('S-Collection'!$F$6:$F$41,MATCH(Table195781011121314236172728151617187[[#This Row],[a]],'S-Collection'!$B$6:$B$41,0))</f>
        <v>2034</v>
      </c>
      <c r="D33" s="129">
        <f>INDEX('S-Collection'!$G$6:$G$41,MATCH(Table195781011121314236172728151617187[[#This Row],[a]],'S-Collection'!$B$6:$B$41,0))</f>
        <v>2035</v>
      </c>
      <c r="E33" s="686">
        <f t="shared" ref="E33" si="19">(D33-C33)+1</f>
        <v>2</v>
      </c>
      <c r="F33" s="124">
        <f>INDEX('S-Collection'!$P$6:$P$41,MATCH(Table195781011121314236172728151617187[[#This Row],[a]],'S-Collection'!$B$6:$B$41,0))</f>
        <v>48114</v>
      </c>
      <c r="G33" s="61"/>
      <c r="H33" s="687">
        <f>+Table195781011121314236172728151617187[[#This Row],[f]]-Table195781011121314236172728151617187[[#This Row],[g]]</f>
        <v>48114</v>
      </c>
      <c r="I33" s="110"/>
      <c r="J33" s="102"/>
      <c r="K33" s="688">
        <f>(Table195781011121314236172728151617187[[#This Row],[h]])</f>
        <v>48114</v>
      </c>
      <c r="L33" s="40" t="str">
        <f t="shared" si="16"/>
        <v/>
      </c>
      <c r="M33" s="40" t="str">
        <f t="shared" si="16"/>
        <v/>
      </c>
      <c r="N33" s="40" t="str">
        <f t="shared" si="16"/>
        <v/>
      </c>
      <c r="O33" s="40" t="str">
        <f t="shared" si="16"/>
        <v/>
      </c>
      <c r="P33" s="40" t="str">
        <f t="shared" si="16"/>
        <v/>
      </c>
      <c r="Q33" s="40" t="str">
        <f t="shared" si="16"/>
        <v/>
      </c>
      <c r="R33" s="40" t="str">
        <f t="shared" si="16"/>
        <v/>
      </c>
      <c r="S33" s="40" t="str">
        <f t="shared" si="16"/>
        <v/>
      </c>
      <c r="T33" s="40">
        <f t="shared" si="16"/>
        <v>29311.118505396083</v>
      </c>
      <c r="U33" s="40">
        <f t="shared" si="16"/>
        <v>30043.896468030984</v>
      </c>
      <c r="V33" s="40" t="str">
        <f t="shared" si="16"/>
        <v/>
      </c>
      <c r="W33" s="40" t="str">
        <f t="shared" si="16"/>
        <v/>
      </c>
      <c r="X33" s="40" t="str">
        <f t="shared" si="16"/>
        <v/>
      </c>
      <c r="Y33" s="40" t="str">
        <f t="shared" si="16"/>
        <v/>
      </c>
      <c r="Z33" s="40" t="str">
        <f t="shared" si="16"/>
        <v/>
      </c>
      <c r="AA33" s="40" t="str">
        <f t="shared" si="16"/>
        <v/>
      </c>
      <c r="AB33" s="40" t="str">
        <f t="shared" si="14"/>
        <v/>
      </c>
      <c r="AC33" s="40" t="str">
        <f t="shared" si="14"/>
        <v/>
      </c>
      <c r="AD33" s="40" t="str">
        <f t="shared" si="14"/>
        <v/>
      </c>
      <c r="AE33" s="40" t="str">
        <f t="shared" si="14"/>
        <v/>
      </c>
      <c r="AF33" s="40" t="str">
        <f t="shared" si="14"/>
        <v/>
      </c>
      <c r="AG33" s="40" t="str">
        <f t="shared" si="14"/>
        <v/>
      </c>
      <c r="AH33" s="40" t="str">
        <f t="shared" si="14"/>
        <v/>
      </c>
      <c r="AI33" s="40" t="str">
        <f t="shared" si="14"/>
        <v/>
      </c>
      <c r="AJ33" s="40" t="str">
        <f t="shared" si="14"/>
        <v/>
      </c>
      <c r="AK33" s="40" t="str">
        <f t="shared" si="14"/>
        <v/>
      </c>
      <c r="AL33" s="40" t="str">
        <f t="shared" si="14"/>
        <v/>
      </c>
      <c r="AM33" s="40" t="str">
        <f t="shared" si="14"/>
        <v/>
      </c>
      <c r="AN33" s="40" t="str">
        <f t="shared" si="14"/>
        <v/>
      </c>
      <c r="AO33" s="40" t="str">
        <f t="shared" si="14"/>
        <v/>
      </c>
      <c r="AP33" s="40" t="str">
        <f t="shared" si="14"/>
        <v/>
      </c>
      <c r="AQ33" s="40" t="str">
        <f t="shared" si="14"/>
        <v/>
      </c>
      <c r="AR33" s="40" t="str">
        <f t="shared" si="15"/>
        <v/>
      </c>
      <c r="AS33" s="40" t="str">
        <f t="shared" si="15"/>
        <v/>
      </c>
      <c r="AT33" s="40" t="str">
        <f t="shared" si="15"/>
        <v/>
      </c>
      <c r="AU33" s="40" t="str">
        <f t="shared" si="15"/>
        <v/>
      </c>
      <c r="AV33" s="40" t="str">
        <f t="shared" si="15"/>
        <v/>
      </c>
      <c r="AW33" s="40" t="str">
        <f t="shared" si="15"/>
        <v/>
      </c>
      <c r="AX33" s="40" t="str">
        <f t="shared" si="15"/>
        <v/>
      </c>
      <c r="AY33" s="40" t="str">
        <f t="shared" si="15"/>
        <v/>
      </c>
      <c r="AZ33" s="40" t="str">
        <f t="shared" si="15"/>
        <v/>
      </c>
      <c r="BA33" s="40" t="str">
        <f t="shared" si="15"/>
        <v/>
      </c>
      <c r="BB33" s="40" t="str">
        <f t="shared" si="15"/>
        <v/>
      </c>
      <c r="BC33" s="40" t="str">
        <f t="shared" si="15"/>
        <v/>
      </c>
      <c r="BD33" s="40" t="str">
        <f t="shared" si="15"/>
        <v/>
      </c>
      <c r="BE33" s="40" t="str">
        <f t="shared" si="15"/>
        <v/>
      </c>
      <c r="BF33" s="40" t="str">
        <f t="shared" si="15"/>
        <v/>
      </c>
      <c r="BG33" s="40" t="str">
        <f t="shared" si="15"/>
        <v/>
      </c>
      <c r="BH33" s="40" t="str">
        <f t="shared" si="17"/>
        <v/>
      </c>
      <c r="BI33" s="40" t="str">
        <f t="shared" si="17"/>
        <v/>
      </c>
      <c r="BJ33" s="40" t="str">
        <f t="shared" si="17"/>
        <v/>
      </c>
      <c r="BK33" s="40" t="str">
        <f t="shared" si="17"/>
        <v/>
      </c>
      <c r="BL33" s="40" t="str">
        <f t="shared" si="17"/>
        <v/>
      </c>
      <c r="BM33" s="40" t="str">
        <f t="shared" si="17"/>
        <v/>
      </c>
      <c r="BN33" s="40" t="str">
        <f t="shared" si="17"/>
        <v/>
      </c>
      <c r="BO33" s="40" t="str">
        <f t="shared" si="17"/>
        <v/>
      </c>
      <c r="BP33" s="40" t="str">
        <f t="shared" si="17"/>
        <v/>
      </c>
      <c r="BQ33" s="40" t="str">
        <f t="shared" si="17"/>
        <v/>
      </c>
      <c r="BR33" s="40" t="str">
        <f t="shared" si="17"/>
        <v/>
      </c>
      <c r="BS33" s="40" t="str">
        <f t="shared" si="17"/>
        <v/>
      </c>
      <c r="BT33" s="41">
        <f>SUM(L33:BS33)</f>
        <v>59355.014973427067</v>
      </c>
    </row>
    <row r="34" spans="1:72" ht="15.6" thickTop="1" thickBot="1">
      <c r="A34" s="6"/>
      <c r="B34" s="6"/>
      <c r="C34" s="6"/>
      <c r="D34" s="6"/>
      <c r="E34" s="6"/>
      <c r="F34" s="12">
        <f>SUM(Table195781011121314236172728151617187[f])</f>
        <v>8901821</v>
      </c>
      <c r="G34" s="12"/>
      <c r="H34" s="12"/>
      <c r="I34" s="12"/>
      <c r="J34" s="12"/>
      <c r="K34" s="7">
        <f>SUM(Table195781011121314236172728151617187[k])</f>
        <v>8901821</v>
      </c>
      <c r="L34" s="7">
        <f>+SUM(L12:L33)</f>
        <v>284870</v>
      </c>
      <c r="M34" s="7">
        <f t="shared" ref="M34:BS34" si="20">+SUM(M12:M33)</f>
        <v>391712.97499999998</v>
      </c>
      <c r="N34" s="7">
        <f t="shared" si="20"/>
        <v>173196.05656249999</v>
      </c>
      <c r="O34" s="7">
        <f t="shared" si="20"/>
        <v>331087.33042968751</v>
      </c>
      <c r="P34" s="7">
        <f>+SUM(P12:P33)</f>
        <v>393670.45218984369</v>
      </c>
      <c r="Q34" s="7">
        <f t="shared" si="20"/>
        <v>1195590.3844264173</v>
      </c>
      <c r="R34" s="7">
        <f>+SUM(R12:R33)</f>
        <v>1090074.3405265405</v>
      </c>
      <c r="S34" s="7">
        <f t="shared" si="20"/>
        <v>113007.16591548327</v>
      </c>
      <c r="T34" s="7">
        <f>+SUM(T12:T33)</f>
        <v>3169604.8512549</v>
      </c>
      <c r="U34" s="7">
        <f t="shared" si="20"/>
        <v>3130116.8188463175</v>
      </c>
      <c r="V34" s="7">
        <f t="shared" si="20"/>
        <v>0</v>
      </c>
      <c r="W34" s="7">
        <f t="shared" si="20"/>
        <v>0</v>
      </c>
      <c r="X34" s="7">
        <f t="shared" si="20"/>
        <v>0</v>
      </c>
      <c r="Y34" s="7">
        <f t="shared" si="20"/>
        <v>0</v>
      </c>
      <c r="Z34" s="7">
        <f t="shared" si="20"/>
        <v>24331.409197168246</v>
      </c>
      <c r="AA34" s="7">
        <f t="shared" si="20"/>
        <v>24939.694427097449</v>
      </c>
      <c r="AB34" s="7">
        <f t="shared" si="20"/>
        <v>0</v>
      </c>
      <c r="AC34" s="7">
        <f>+SUM(AC12:AC33)</f>
        <v>0</v>
      </c>
      <c r="AD34" s="7">
        <f t="shared" si="20"/>
        <v>34109.736156241219</v>
      </c>
      <c r="AE34" s="7">
        <f t="shared" si="20"/>
        <v>34962.479560147243</v>
      </c>
      <c r="AF34" s="7">
        <f t="shared" si="20"/>
        <v>0</v>
      </c>
      <c r="AG34" s="7">
        <f t="shared" si="20"/>
        <v>0</v>
      </c>
      <c r="AH34" s="7">
        <f t="shared" si="20"/>
        <v>0</v>
      </c>
      <c r="AI34" s="7">
        <f t="shared" si="20"/>
        <v>113012.72655128509</v>
      </c>
      <c r="AJ34" s="7">
        <f t="shared" si="20"/>
        <v>115838.04471506723</v>
      </c>
      <c r="AK34" s="7">
        <f t="shared" si="20"/>
        <v>0</v>
      </c>
      <c r="AL34" s="7">
        <f t="shared" si="20"/>
        <v>0</v>
      </c>
      <c r="AM34" s="7">
        <f t="shared" si="20"/>
        <v>0</v>
      </c>
      <c r="AN34" s="7">
        <f t="shared" si="20"/>
        <v>0</v>
      </c>
      <c r="AO34" s="7">
        <f t="shared" si="20"/>
        <v>0</v>
      </c>
      <c r="AP34" s="7">
        <f t="shared" si="20"/>
        <v>0</v>
      </c>
      <c r="AQ34" s="7">
        <f t="shared" si="20"/>
        <v>0</v>
      </c>
      <c r="AR34" s="7">
        <f t="shared" si="20"/>
        <v>0</v>
      </c>
      <c r="AS34" s="7">
        <f t="shared" si="20"/>
        <v>0</v>
      </c>
      <c r="AT34" s="7">
        <f t="shared" si="20"/>
        <v>0</v>
      </c>
      <c r="AU34" s="7">
        <f t="shared" si="20"/>
        <v>0</v>
      </c>
      <c r="AV34" s="7">
        <f t="shared" si="20"/>
        <v>0</v>
      </c>
      <c r="AW34" s="7">
        <f t="shared" si="20"/>
        <v>0</v>
      </c>
      <c r="AX34" s="7">
        <f t="shared" si="20"/>
        <v>0</v>
      </c>
      <c r="AY34" s="7">
        <f t="shared" si="20"/>
        <v>0</v>
      </c>
      <c r="AZ34" s="7">
        <f t="shared" si="20"/>
        <v>0</v>
      </c>
      <c r="BA34" s="7">
        <f t="shared" si="20"/>
        <v>0</v>
      </c>
      <c r="BB34" s="7">
        <f t="shared" si="20"/>
        <v>0</v>
      </c>
      <c r="BC34" s="7">
        <f t="shared" si="20"/>
        <v>0</v>
      </c>
      <c r="BD34" s="7">
        <f t="shared" si="20"/>
        <v>0</v>
      </c>
      <c r="BE34" s="7">
        <f t="shared" si="20"/>
        <v>0</v>
      </c>
      <c r="BF34" s="7">
        <f t="shared" si="20"/>
        <v>0</v>
      </c>
      <c r="BG34" s="7">
        <f t="shared" si="20"/>
        <v>0</v>
      </c>
      <c r="BH34" s="7">
        <f t="shared" si="20"/>
        <v>0</v>
      </c>
      <c r="BI34" s="7">
        <f t="shared" si="20"/>
        <v>0</v>
      </c>
      <c r="BJ34" s="7">
        <f t="shared" si="20"/>
        <v>0</v>
      </c>
      <c r="BK34" s="7">
        <f t="shared" si="20"/>
        <v>0</v>
      </c>
      <c r="BL34" s="7">
        <f t="shared" si="20"/>
        <v>0</v>
      </c>
      <c r="BM34" s="7">
        <f t="shared" si="20"/>
        <v>0</v>
      </c>
      <c r="BN34" s="7">
        <f t="shared" si="20"/>
        <v>0</v>
      </c>
      <c r="BO34" s="7">
        <f t="shared" si="20"/>
        <v>0</v>
      </c>
      <c r="BP34" s="7">
        <f t="shared" si="20"/>
        <v>0</v>
      </c>
      <c r="BQ34" s="7">
        <f t="shared" si="20"/>
        <v>0</v>
      </c>
      <c r="BR34" s="7">
        <f t="shared" si="20"/>
        <v>0</v>
      </c>
      <c r="BS34" s="7">
        <f t="shared" si="20"/>
        <v>0</v>
      </c>
      <c r="BT34" s="7">
        <f>+SUM(BT12:BT33)</f>
        <v>10620124.465758692</v>
      </c>
    </row>
    <row r="36" spans="1:72" ht="15" thickBot="1">
      <c r="A36" s="32"/>
      <c r="G36"/>
      <c r="H36"/>
      <c r="I36"/>
    </row>
    <row r="37" spans="1:72">
      <c r="A37" s="333"/>
      <c r="B37" s="20">
        <v>1</v>
      </c>
      <c r="C37" s="21">
        <v>2</v>
      </c>
      <c r="D37" s="21">
        <v>3</v>
      </c>
      <c r="E37" s="21">
        <v>4</v>
      </c>
      <c r="F37" s="21">
        <v>5</v>
      </c>
      <c r="G37" s="21">
        <v>6</v>
      </c>
      <c r="H37" s="21"/>
      <c r="I37" s="21">
        <v>7</v>
      </c>
      <c r="J37" s="21">
        <v>8</v>
      </c>
      <c r="K37" s="21">
        <v>9</v>
      </c>
      <c r="L37" s="25">
        <v>10</v>
      </c>
      <c r="M37" s="26">
        <v>11</v>
      </c>
      <c r="N37" s="27">
        <v>12</v>
      </c>
    </row>
    <row r="38" spans="1:72" ht="15" customHeight="1">
      <c r="A38" s="334"/>
      <c r="B38" s="76" t="s">
        <v>38</v>
      </c>
      <c r="C38" s="785" t="s">
        <v>37</v>
      </c>
      <c r="D38" s="785" t="s">
        <v>220</v>
      </c>
      <c r="E38" s="785" t="s">
        <v>224</v>
      </c>
      <c r="F38" s="785" t="s">
        <v>202</v>
      </c>
      <c r="G38" s="785" t="s">
        <v>36</v>
      </c>
      <c r="H38" s="785" t="s">
        <v>198</v>
      </c>
      <c r="I38" s="24"/>
      <c r="J38" s="785" t="s">
        <v>35</v>
      </c>
      <c r="K38" s="785" t="s">
        <v>34</v>
      </c>
      <c r="L38" s="783" t="s">
        <v>225</v>
      </c>
      <c r="M38" s="784"/>
      <c r="N38" s="788" t="s">
        <v>33</v>
      </c>
    </row>
    <row r="39" spans="1:72">
      <c r="A39" s="334"/>
      <c r="B39" s="76"/>
      <c r="C39" s="785"/>
      <c r="D39" s="785"/>
      <c r="E39" s="785"/>
      <c r="F39" s="785"/>
      <c r="G39" s="785"/>
      <c r="H39" s="785"/>
      <c r="I39" s="288">
        <v>11519.839492777674</v>
      </c>
      <c r="J39" s="785"/>
      <c r="K39" s="785"/>
      <c r="L39" s="783"/>
      <c r="M39" s="784"/>
      <c r="N39" s="788"/>
    </row>
    <row r="40" spans="1:72">
      <c r="A40" s="333"/>
      <c r="B40" s="22"/>
      <c r="C40" s="785"/>
      <c r="D40" s="785"/>
      <c r="E40" s="785"/>
      <c r="F40" s="785"/>
      <c r="G40" s="785"/>
      <c r="H40" s="785"/>
      <c r="I40" s="23"/>
      <c r="J40" s="785"/>
      <c r="K40" s="785"/>
      <c r="L40" s="19"/>
      <c r="M40" s="18"/>
      <c r="N40" s="788"/>
    </row>
    <row r="41" spans="1:72">
      <c r="A41" s="333"/>
      <c r="B41" s="22"/>
      <c r="C41" s="53"/>
      <c r="D41" s="785"/>
      <c r="E41" s="53"/>
      <c r="F41" s="53"/>
      <c r="G41" s="23"/>
      <c r="H41" s="785"/>
      <c r="I41" s="89"/>
      <c r="J41" s="23"/>
      <c r="K41" s="23"/>
      <c r="L41" s="52" t="s">
        <v>7</v>
      </c>
      <c r="M41" s="90" t="s">
        <v>8</v>
      </c>
      <c r="N41" s="788"/>
    </row>
    <row r="42" spans="1:72">
      <c r="A42" s="333"/>
      <c r="B42" s="91"/>
      <c r="C42" s="53"/>
      <c r="D42" s="250" t="s">
        <v>7</v>
      </c>
      <c r="E42" s="53" t="s">
        <v>8</v>
      </c>
      <c r="F42" s="53" t="s">
        <v>8</v>
      </c>
      <c r="G42" s="23"/>
      <c r="H42" s="23"/>
      <c r="I42" s="92" t="s">
        <v>11</v>
      </c>
      <c r="J42" s="23"/>
      <c r="K42" s="23"/>
      <c r="L42" s="591">
        <f>Assumptions!$B$6</f>
        <v>2.6740000000000003E-2</v>
      </c>
      <c r="M42" s="93">
        <f>+Assumptions!$B$8</f>
        <v>0</v>
      </c>
      <c r="N42" s="788"/>
    </row>
    <row r="43" spans="1:72" ht="15" thickBot="1">
      <c r="A43" s="333"/>
      <c r="B43" s="272"/>
      <c r="C43" s="274"/>
      <c r="D43" s="274"/>
      <c r="E43" s="274"/>
      <c r="F43" s="275"/>
      <c r="G43" s="274"/>
      <c r="H43" s="274"/>
      <c r="I43" s="274">
        <f>L10</f>
        <v>2026</v>
      </c>
      <c r="J43" s="276" t="s">
        <v>221</v>
      </c>
      <c r="K43" s="276" t="s">
        <v>222</v>
      </c>
      <c r="L43" s="277"/>
      <c r="M43" s="278"/>
      <c r="N43" s="279" t="s">
        <v>223</v>
      </c>
    </row>
    <row r="44" spans="1:72" ht="15" hidden="1" thickBot="1">
      <c r="A44" s="32"/>
      <c r="B44" s="266"/>
      <c r="C44" s="280"/>
      <c r="D44" s="280"/>
      <c r="E44" s="280"/>
      <c r="F44" s="280"/>
      <c r="G44" s="281"/>
      <c r="H44" s="281"/>
      <c r="I44" s="280"/>
      <c r="J44" s="280"/>
      <c r="K44" s="280"/>
      <c r="L44" s="280"/>
      <c r="M44" s="280"/>
      <c r="N44" s="282"/>
    </row>
    <row r="45" spans="1:72" ht="15" hidden="1" thickBot="1">
      <c r="A45" s="32"/>
      <c r="B45" s="218">
        <v>2023</v>
      </c>
      <c r="C45" s="197"/>
      <c r="D45" s="197"/>
      <c r="E45" s="197"/>
      <c r="F45" s="197"/>
      <c r="G45" s="197"/>
      <c r="H45" s="197"/>
      <c r="I45" s="197"/>
      <c r="J45" s="196"/>
      <c r="K45" s="196"/>
      <c r="L45" s="196"/>
      <c r="M45" s="260"/>
      <c r="N45" s="261"/>
    </row>
    <row r="46" spans="1:72" ht="15" hidden="1" thickBot="1">
      <c r="A46" s="32"/>
      <c r="B46" s="218">
        <f t="shared" ref="B46:B82" si="21">+B45+1</f>
        <v>2024</v>
      </c>
      <c r="C46" s="197"/>
      <c r="D46" s="197"/>
      <c r="E46" s="197"/>
      <c r="F46" s="197"/>
      <c r="G46" s="197"/>
      <c r="H46" s="197"/>
      <c r="I46" s="197"/>
      <c r="J46" s="197"/>
      <c r="K46" s="196"/>
      <c r="L46" s="196"/>
      <c r="M46" s="260"/>
      <c r="N46" s="261"/>
    </row>
    <row r="47" spans="1:72" ht="15" hidden="1" thickBot="1">
      <c r="A47" s="32"/>
      <c r="B47" s="307">
        <f t="shared" si="21"/>
        <v>2025</v>
      </c>
      <c r="C47" s="309"/>
      <c r="D47" s="309"/>
      <c r="E47" s="309"/>
      <c r="F47" s="309"/>
      <c r="G47" s="309"/>
      <c r="H47" s="309"/>
      <c r="I47" s="309"/>
      <c r="J47" s="289"/>
      <c r="K47" s="289"/>
      <c r="L47" s="289"/>
      <c r="M47" s="290"/>
      <c r="N47" s="306"/>
      <c r="P47" s="14"/>
    </row>
    <row r="48" spans="1:72">
      <c r="A48" s="32"/>
      <c r="B48" s="291">
        <f t="shared" si="21"/>
        <v>2026</v>
      </c>
      <c r="C48" s="294">
        <f>Assumptions!B34</f>
        <v>0</v>
      </c>
      <c r="D48" s="294"/>
      <c r="E48" s="294">
        <v>0</v>
      </c>
      <c r="F48" s="295">
        <f ca="1">OFFSET($L$34,0,B48-Assumptions!$B$3)</f>
        <v>284870</v>
      </c>
      <c r="G48" s="329">
        <f>'Cost Recovery Timing'!S15</f>
        <v>18.475999999999999</v>
      </c>
      <c r="H48" s="292">
        <f>Assumptions!$B$23</f>
        <v>0.02</v>
      </c>
      <c r="I48" s="298">
        <f>+I39</f>
        <v>11519.839492777674</v>
      </c>
      <c r="J48" s="295">
        <f>(G48*I48*Assumptions!$B$28)+(G47*I47*Assumptions!$B$27)+(G46*I46*Assumptions!$B$26)</f>
        <v>63852.166340568088</v>
      </c>
      <c r="K48" s="303">
        <f t="shared" ref="K48:K82" ca="1" si="22">+C48+J48-F48</f>
        <v>-221017.8336594319</v>
      </c>
      <c r="L48" s="298"/>
      <c r="M48" s="295"/>
      <c r="N48" s="300">
        <f t="shared" ref="N48:N51" ca="1" si="23">+L48+K48+M48</f>
        <v>-221017.8336594319</v>
      </c>
      <c r="P48" s="47"/>
    </row>
    <row r="49" spans="1:16">
      <c r="A49" s="32"/>
      <c r="B49" s="218">
        <f t="shared" si="21"/>
        <v>2027</v>
      </c>
      <c r="C49" s="252">
        <f t="shared" ref="C49:C82" ca="1" si="24">+N48</f>
        <v>-221017.8336594319</v>
      </c>
      <c r="D49" s="252"/>
      <c r="E49" s="252">
        <v>0</v>
      </c>
      <c r="F49" s="253">
        <f ca="1">OFFSET($L$34,0,B49-Assumptions!$B$3)</f>
        <v>391712.97499999998</v>
      </c>
      <c r="G49" s="223">
        <f>'Cost Recovery Timing'!S16</f>
        <v>28.58</v>
      </c>
      <c r="H49" s="224">
        <f>Assumptions!$B$23</f>
        <v>0.02</v>
      </c>
      <c r="I49" s="253">
        <f>+IF(B49&gt;$B$73,0,I48*(1+$H49))</f>
        <v>11750.236282633226</v>
      </c>
      <c r="J49" s="253">
        <f>(G49*I49*Assumptions!$B$28)+(G48*I48*Assumptions!$B$27)+(G47*I47*Assumptions!$B$26)</f>
        <v>164598.69222786537</v>
      </c>
      <c r="K49" s="252">
        <f t="shared" ca="1" si="22"/>
        <v>-448132.11643156654</v>
      </c>
      <c r="L49" s="253"/>
      <c r="M49" s="253"/>
      <c r="N49" s="285">
        <f t="shared" ca="1" si="23"/>
        <v>-448132.11643156654</v>
      </c>
      <c r="P49" s="47"/>
    </row>
    <row r="50" spans="1:16">
      <c r="A50" s="32"/>
      <c r="B50" s="218">
        <f t="shared" si="21"/>
        <v>2028</v>
      </c>
      <c r="C50" s="252">
        <f t="shared" ca="1" si="24"/>
        <v>-448132.11643156654</v>
      </c>
      <c r="D50" s="252"/>
      <c r="E50" s="252">
        <v>0</v>
      </c>
      <c r="F50" s="253">
        <f ca="1">OFFSET($L$34,0,B50-Assumptions!$B$3)</f>
        <v>173196.05656249999</v>
      </c>
      <c r="G50" s="223">
        <f>'Cost Recovery Timing'!S17</f>
        <v>28.58</v>
      </c>
      <c r="H50" s="224">
        <f>Assumptions!$B$23</f>
        <v>0.02</v>
      </c>
      <c r="I50" s="253">
        <f t="shared" ref="I50:I82" si="25">+IF(B50&gt;$B$73,0,I49*(1+$H50))</f>
        <v>11985.241008285891</v>
      </c>
      <c r="J50" s="253">
        <f>(G50*I50*Assumptions!$B$28)+(G49*I49*Assumptions!$B$27)+(G48*I48*Assumptions!$B$26)</f>
        <v>288644.2040797646</v>
      </c>
      <c r="K50" s="252">
        <f t="shared" ca="1" si="22"/>
        <v>-332683.96891430195</v>
      </c>
      <c r="L50" s="253"/>
      <c r="M50" s="253"/>
      <c r="N50" s="285">
        <f t="shared" ca="1" si="23"/>
        <v>-332683.96891430195</v>
      </c>
      <c r="P50" s="47"/>
    </row>
    <row r="51" spans="1:16">
      <c r="A51" s="32"/>
      <c r="B51" s="218">
        <f t="shared" si="21"/>
        <v>2029</v>
      </c>
      <c r="C51" s="252">
        <f t="shared" ca="1" si="24"/>
        <v>-332683.96891430195</v>
      </c>
      <c r="D51" s="252"/>
      <c r="E51" s="252">
        <v>0</v>
      </c>
      <c r="F51" s="253">
        <f ca="1">OFFSET($L$34,0,B51-Assumptions!$B$3)</f>
        <v>331087.33042968751</v>
      </c>
      <c r="G51" s="223">
        <f>'Cost Recovery Timing'!S18</f>
        <v>28.58</v>
      </c>
      <c r="H51" s="224">
        <f>Assumptions!$B$23</f>
        <v>0.02</v>
      </c>
      <c r="I51" s="253">
        <f t="shared" si="25"/>
        <v>12224.945828451609</v>
      </c>
      <c r="J51" s="253">
        <f>(G51*I51*Assumptions!$B$28)+(G50*I50*Assumptions!$B$27)+(G49*I49*Assumptions!$B$26)</f>
        <v>341906.84312125039</v>
      </c>
      <c r="K51" s="252">
        <f t="shared" ca="1" si="22"/>
        <v>-321864.45622273907</v>
      </c>
      <c r="L51" s="253"/>
      <c r="M51" s="253"/>
      <c r="N51" s="285">
        <f t="shared" ca="1" si="23"/>
        <v>-321864.45622273907</v>
      </c>
      <c r="P51" s="47"/>
    </row>
    <row r="52" spans="1:16">
      <c r="A52" s="32"/>
      <c r="B52" s="218">
        <f t="shared" si="21"/>
        <v>2030</v>
      </c>
      <c r="C52" s="252">
        <f t="shared" ca="1" si="24"/>
        <v>-321864.45622273907</v>
      </c>
      <c r="D52" s="252"/>
      <c r="E52" s="252">
        <v>0</v>
      </c>
      <c r="F52" s="253">
        <f ca="1">OFFSET($L$34,0,B52-Assumptions!$B$3)</f>
        <v>393670.45218984369</v>
      </c>
      <c r="G52" s="223">
        <f>'Cost Recovery Timing'!S19</f>
        <v>28.58</v>
      </c>
      <c r="H52" s="224">
        <f>Assumptions!$B$23</f>
        <v>0.02</v>
      </c>
      <c r="I52" s="253">
        <f t="shared" si="25"/>
        <v>12469.444745020643</v>
      </c>
      <c r="J52" s="253">
        <f>(G52*I52*Assumptions!$B$28)+(G51*I51*Assumptions!$B$27)+(G50*I50*Assumptions!$B$26)</f>
        <v>348744.97998367535</v>
      </c>
      <c r="K52" s="252">
        <f t="shared" ca="1" si="22"/>
        <v>-366789.92842890741</v>
      </c>
      <c r="L52" s="253"/>
      <c r="M52" s="253"/>
      <c r="N52" s="285">
        <f ca="1">+L52+K52+M52</f>
        <v>-366789.92842890741</v>
      </c>
      <c r="P52" s="47"/>
    </row>
    <row r="53" spans="1:16">
      <c r="A53" s="32"/>
      <c r="B53" s="218">
        <f t="shared" si="21"/>
        <v>2031</v>
      </c>
      <c r="C53" s="252">
        <f t="shared" ca="1" si="24"/>
        <v>-366789.92842890741</v>
      </c>
      <c r="D53" s="252"/>
      <c r="E53" s="252">
        <v>0</v>
      </c>
      <c r="F53" s="253">
        <f ca="1">OFFSET($L$34,0,B53-Assumptions!$B$3)</f>
        <v>1195590.3844264173</v>
      </c>
      <c r="G53" s="223">
        <f>'Cost Recovery Timing'!S20</f>
        <v>28.58</v>
      </c>
      <c r="H53" s="224">
        <f>Assumptions!$B$23</f>
        <v>0.02</v>
      </c>
      <c r="I53" s="253">
        <f t="shared" si="25"/>
        <v>12718.833639921055</v>
      </c>
      <c r="J53" s="253">
        <f>(G53*I53*Assumptions!$B$28)+(G52*I52*Assumptions!$B$27)+(G51*I51*Assumptions!$B$26)</f>
        <v>355719.87958334887</v>
      </c>
      <c r="K53" s="252">
        <f t="shared" ca="1" si="22"/>
        <v>-1206660.4332719757</v>
      </c>
      <c r="L53" s="253"/>
      <c r="M53" s="253"/>
      <c r="N53" s="285">
        <f t="shared" ref="N53:N60" ca="1" si="26">+L53+K53+M53</f>
        <v>-1206660.4332719757</v>
      </c>
      <c r="P53" s="47"/>
    </row>
    <row r="54" spans="1:16">
      <c r="A54" s="114"/>
      <c r="B54" s="218">
        <f t="shared" si="21"/>
        <v>2032</v>
      </c>
      <c r="C54" s="252">
        <f t="shared" ca="1" si="24"/>
        <v>-1206660.4332719757</v>
      </c>
      <c r="D54" s="252"/>
      <c r="E54" s="252">
        <v>0</v>
      </c>
      <c r="F54" s="253">
        <f ca="1">OFFSET($L$34,0,B54-Assumptions!$B$3)</f>
        <v>1090074.3405265405</v>
      </c>
      <c r="G54" s="223">
        <f>'Cost Recovery Timing'!S21</f>
        <v>28.58</v>
      </c>
      <c r="H54" s="224">
        <f>Assumptions!$B$23</f>
        <v>0.02</v>
      </c>
      <c r="I54" s="253">
        <f t="shared" si="25"/>
        <v>12973.210312719477</v>
      </c>
      <c r="J54" s="253">
        <f>(G54*I54*Assumptions!$B$28)+(G53*I53*Assumptions!$B$27)+(G52*I52*Assumptions!$B$26)</f>
        <v>362834.27717501589</v>
      </c>
      <c r="K54" s="252">
        <f t="shared" ca="1" si="22"/>
        <v>-1933900.4966235003</v>
      </c>
      <c r="L54" s="253"/>
      <c r="M54" s="253"/>
      <c r="N54" s="285">
        <f t="shared" ca="1" si="26"/>
        <v>-1933900.4966235003</v>
      </c>
      <c r="P54" s="47"/>
    </row>
    <row r="55" spans="1:16">
      <c r="A55" s="114"/>
      <c r="B55" s="218">
        <f t="shared" si="21"/>
        <v>2033</v>
      </c>
      <c r="C55" s="252">
        <f t="shared" ca="1" si="24"/>
        <v>-1933900.4966235003</v>
      </c>
      <c r="D55" s="252"/>
      <c r="E55" s="252">
        <v>0</v>
      </c>
      <c r="F55" s="253">
        <f ca="1">OFFSET($L$34,0,B55-Assumptions!$B$3)</f>
        <v>113007.16591548327</v>
      </c>
      <c r="G55" s="223">
        <f>'Cost Recovery Timing'!S22</f>
        <v>28.58</v>
      </c>
      <c r="H55" s="224">
        <f>Assumptions!$B$23</f>
        <v>0.02</v>
      </c>
      <c r="I55" s="253">
        <f t="shared" si="25"/>
        <v>13232.674518973867</v>
      </c>
      <c r="J55" s="253">
        <f>(G55*I55*Assumptions!$B$28)+(G54*I54*Assumptions!$B$27)+(G53*I53*Assumptions!$B$26)</f>
        <v>370090.96271851624</v>
      </c>
      <c r="K55" s="252">
        <f t="shared" ca="1" si="22"/>
        <v>-1676816.6998204675</v>
      </c>
      <c r="L55" s="253"/>
      <c r="M55" s="253"/>
      <c r="N55" s="285">
        <f t="shared" ca="1" si="26"/>
        <v>-1676816.6998204675</v>
      </c>
      <c r="P55" s="47"/>
    </row>
    <row r="56" spans="1:16">
      <c r="A56" s="114"/>
      <c r="B56" s="218">
        <f t="shared" si="21"/>
        <v>2034</v>
      </c>
      <c r="C56" s="252">
        <f t="shared" ca="1" si="24"/>
        <v>-1676816.6998204675</v>
      </c>
      <c r="D56" s="252"/>
      <c r="E56" s="252">
        <v>0</v>
      </c>
      <c r="F56" s="253">
        <f ca="1">OFFSET($L$34,0,B56-Assumptions!$B$3)</f>
        <v>3169604.8512549</v>
      </c>
      <c r="G56" s="223">
        <f>'Cost Recovery Timing'!S23</f>
        <v>28.58</v>
      </c>
      <c r="H56" s="224">
        <f>Assumptions!$B$23</f>
        <v>0.02</v>
      </c>
      <c r="I56" s="253">
        <f t="shared" si="25"/>
        <v>13497.328009353345</v>
      </c>
      <c r="J56" s="253">
        <f>(G56*I56*Assumptions!$B$28)+(G55*I55*Assumptions!$B$27)+(G54*I54*Assumptions!$B$26)</f>
        <v>377492.78197288653</v>
      </c>
      <c r="K56" s="317">
        <f t="shared" ca="1" si="22"/>
        <v>-4468928.7691024812</v>
      </c>
      <c r="L56" s="253"/>
      <c r="M56" s="253"/>
      <c r="N56" s="285">
        <f t="shared" ca="1" si="26"/>
        <v>-4468928.7691024812</v>
      </c>
      <c r="P56" s="47"/>
    </row>
    <row r="57" spans="1:16">
      <c r="A57" s="114"/>
      <c r="B57" s="218">
        <f t="shared" si="21"/>
        <v>2035</v>
      </c>
      <c r="C57" s="252">
        <f t="shared" ca="1" si="24"/>
        <v>-4468928.7691024812</v>
      </c>
      <c r="D57" s="252"/>
      <c r="E57" s="252">
        <v>0</v>
      </c>
      <c r="F57" s="253">
        <f ca="1">OFFSET($L$34,0,B57-Assumptions!$B$3)</f>
        <v>3130116.8188463175</v>
      </c>
      <c r="G57" s="223">
        <f>'Cost Recovery Timing'!S24</f>
        <v>28.58</v>
      </c>
      <c r="H57" s="224">
        <f>Assumptions!$B$23</f>
        <v>0.02</v>
      </c>
      <c r="I57" s="253">
        <f t="shared" si="25"/>
        <v>13767.274569540412</v>
      </c>
      <c r="J57" s="253">
        <f>(G57*I57*Assumptions!$B$28)+(G56*I56*Assumptions!$B$27)+(G55*I55*Assumptions!$B$26)</f>
        <v>385042.63761234423</v>
      </c>
      <c r="K57" s="317">
        <f t="shared" ca="1" si="22"/>
        <v>-7214002.9503364544</v>
      </c>
      <c r="L57" s="253"/>
      <c r="M57" s="253"/>
      <c r="N57" s="285">
        <f t="shared" ca="1" si="26"/>
        <v>-7214002.9503364544</v>
      </c>
      <c r="P57" s="47"/>
    </row>
    <row r="58" spans="1:16">
      <c r="A58" s="114"/>
      <c r="B58" s="218">
        <f t="shared" si="21"/>
        <v>2036</v>
      </c>
      <c r="C58" s="252">
        <f t="shared" ca="1" si="24"/>
        <v>-7214002.9503364544</v>
      </c>
      <c r="D58" s="252"/>
      <c r="E58" s="252">
        <v>0</v>
      </c>
      <c r="F58" s="253">
        <f ca="1">OFFSET($L$34,0,B58-Assumptions!$B$3)</f>
        <v>0</v>
      </c>
      <c r="G58" s="223">
        <f>'Cost Recovery Timing'!S25</f>
        <v>28.58</v>
      </c>
      <c r="H58" s="224">
        <f>Assumptions!$B$23</f>
        <v>0.02</v>
      </c>
      <c r="I58" s="253">
        <f t="shared" si="25"/>
        <v>14042.62006093122</v>
      </c>
      <c r="J58" s="253">
        <f>(G58*I58*Assumptions!$B$28)+(G57*I57*Assumptions!$B$27)+(G56*I56*Assumptions!$B$26)</f>
        <v>392743.49036459113</v>
      </c>
      <c r="K58" s="317">
        <f t="shared" ca="1" si="22"/>
        <v>-6821259.4599718638</v>
      </c>
      <c r="L58" s="253"/>
      <c r="M58" s="253"/>
      <c r="N58" s="285">
        <f t="shared" ca="1" si="26"/>
        <v>-6821259.4599718638</v>
      </c>
      <c r="P58" s="47"/>
    </row>
    <row r="59" spans="1:16">
      <c r="A59" s="114"/>
      <c r="B59" s="218">
        <f t="shared" si="21"/>
        <v>2037</v>
      </c>
      <c r="C59" s="252">
        <f t="shared" ca="1" si="24"/>
        <v>-6821259.4599718638</v>
      </c>
      <c r="D59" s="252"/>
      <c r="E59" s="252">
        <v>0</v>
      </c>
      <c r="F59" s="253">
        <f ca="1">OFFSET($L$34,0,B59-Assumptions!$B$3)</f>
        <v>0</v>
      </c>
      <c r="G59" s="223">
        <f>'Cost Recovery Timing'!S26</f>
        <v>28.58</v>
      </c>
      <c r="H59" s="224">
        <f>Assumptions!$B$23</f>
        <v>0.02</v>
      </c>
      <c r="I59" s="253">
        <f t="shared" si="25"/>
        <v>14323.472462149844</v>
      </c>
      <c r="J59" s="253">
        <f>(G59*I59*Assumptions!$B$28)+(G58*I58*Assumptions!$B$27)+(G57*I57*Assumptions!$B$26)</f>
        <v>400598.36017188302</v>
      </c>
      <c r="K59" s="317">
        <f t="shared" ca="1" si="22"/>
        <v>-6420661.0997999804</v>
      </c>
      <c r="L59" s="253"/>
      <c r="M59" s="253"/>
      <c r="N59" s="285">
        <f t="shared" ca="1" si="26"/>
        <v>-6420661.0997999804</v>
      </c>
      <c r="P59" s="47"/>
    </row>
    <row r="60" spans="1:16">
      <c r="A60" s="114"/>
      <c r="B60" s="218">
        <f t="shared" si="21"/>
        <v>2038</v>
      </c>
      <c r="C60" s="252">
        <f t="shared" ca="1" si="24"/>
        <v>-6420661.0997999804</v>
      </c>
      <c r="D60" s="252"/>
      <c r="E60" s="252">
        <v>0</v>
      </c>
      <c r="F60" s="253">
        <f ca="1">OFFSET($L$34,0,B60-Assumptions!$B$3)</f>
        <v>0</v>
      </c>
      <c r="G60" s="223">
        <f>'Cost Recovery Timing'!S27</f>
        <v>28.58</v>
      </c>
      <c r="H60" s="224">
        <f>Assumptions!$B$23</f>
        <v>0.02</v>
      </c>
      <c r="I60" s="253">
        <f t="shared" si="25"/>
        <v>14609.941911392842</v>
      </c>
      <c r="J60" s="253">
        <f>(G60*I60*Assumptions!$B$28)+(G59*I59*Assumptions!$B$27)+(G58*I58*Assumptions!$B$26)</f>
        <v>408610.32737532072</v>
      </c>
      <c r="K60" s="317">
        <f t="shared" ca="1" si="22"/>
        <v>-6012050.7724246597</v>
      </c>
      <c r="L60" s="253"/>
      <c r="M60" s="253"/>
      <c r="N60" s="285">
        <f t="shared" ca="1" si="26"/>
        <v>-6012050.7724246597</v>
      </c>
      <c r="P60" s="47"/>
    </row>
    <row r="61" spans="1:16">
      <c r="A61" s="114"/>
      <c r="B61" s="218">
        <f>+B60+1</f>
        <v>2039</v>
      </c>
      <c r="C61" s="252">
        <f t="shared" ca="1" si="24"/>
        <v>-6012050.7724246597</v>
      </c>
      <c r="D61" s="252"/>
      <c r="E61" s="252">
        <v>0</v>
      </c>
      <c r="F61" s="253">
        <f ca="1">OFFSET($L$34,0,B61-Assumptions!$B$3)</f>
        <v>0</v>
      </c>
      <c r="G61" s="223">
        <f>'Cost Recovery Timing'!S28</f>
        <v>28.58</v>
      </c>
      <c r="H61" s="224">
        <f>Assumptions!$B$23</f>
        <v>0.02</v>
      </c>
      <c r="I61" s="253">
        <f t="shared" si="25"/>
        <v>14902.140749620699</v>
      </c>
      <c r="J61" s="253">
        <f>(G61*I61*Assumptions!$B$28)+(G60*I60*Assumptions!$B$27)+(G59*I59*Assumptions!$B$26)</f>
        <v>416782.5339228271</v>
      </c>
      <c r="K61" s="317">
        <f t="shared" ca="1" si="22"/>
        <v>-5595268.2385018328</v>
      </c>
      <c r="L61" s="253"/>
      <c r="M61" s="253"/>
      <c r="N61" s="285">
        <f ca="1">+L61+K61+M61</f>
        <v>-5595268.2385018328</v>
      </c>
      <c r="P61" s="47"/>
    </row>
    <row r="62" spans="1:16">
      <c r="A62" s="114"/>
      <c r="B62" s="218">
        <f t="shared" si="21"/>
        <v>2040</v>
      </c>
      <c r="C62" s="252">
        <f t="shared" ca="1" si="24"/>
        <v>-5595268.2385018328</v>
      </c>
      <c r="D62" s="252"/>
      <c r="E62" s="252">
        <v>0</v>
      </c>
      <c r="F62" s="253">
        <f ca="1">OFFSET($L$34,0,B62-Assumptions!$B$3)</f>
        <v>24331.409197168246</v>
      </c>
      <c r="G62" s="223">
        <f>'Cost Recovery Timing'!S29</f>
        <v>28.58</v>
      </c>
      <c r="H62" s="224">
        <f>Assumptions!$B$23</f>
        <v>0.02</v>
      </c>
      <c r="I62" s="253">
        <f t="shared" si="25"/>
        <v>15200.183564613113</v>
      </c>
      <c r="J62" s="253">
        <f>(G62*I62*Assumptions!$B$28)+(G61*I61*Assumptions!$B$27)+(G60*I60*Assumptions!$B$26)</f>
        <v>425118.18460128363</v>
      </c>
      <c r="K62" s="317">
        <f t="shared" ca="1" si="22"/>
        <v>-5194481.4630977176</v>
      </c>
      <c r="L62" s="253"/>
      <c r="M62" s="253"/>
      <c r="N62" s="285">
        <f t="shared" ref="N62" ca="1" si="27">+L62+K62+M62</f>
        <v>-5194481.4630977176</v>
      </c>
      <c r="P62" s="47"/>
    </row>
    <row r="63" spans="1:16">
      <c r="A63" s="114"/>
      <c r="B63" s="218">
        <f>+B62+1</f>
        <v>2041</v>
      </c>
      <c r="C63" s="252">
        <f t="shared" ca="1" si="24"/>
        <v>-5194481.4630977176</v>
      </c>
      <c r="D63" s="252"/>
      <c r="E63" s="252">
        <v>0</v>
      </c>
      <c r="F63" s="253">
        <f ca="1">OFFSET($L$34,0,B63-Assumptions!$B$3)</f>
        <v>24939.694427097449</v>
      </c>
      <c r="G63" s="223">
        <f>'Cost Recovery Timing'!S30</f>
        <v>28.58</v>
      </c>
      <c r="H63" s="224">
        <f>Assumptions!$B$23</f>
        <v>0.02</v>
      </c>
      <c r="I63" s="253">
        <f t="shared" si="25"/>
        <v>15504.187235905376</v>
      </c>
      <c r="J63" s="253">
        <f>(G63*I63*Assumptions!$B$28)+(G62*I62*Assumptions!$B$27)+(G61*I61*Assumptions!$B$26)</f>
        <v>433620.54829330929</v>
      </c>
      <c r="K63" s="317">
        <f t="shared" ca="1" si="22"/>
        <v>-4785800.6092315055</v>
      </c>
      <c r="L63" s="253"/>
      <c r="M63" s="253"/>
      <c r="N63" s="285">
        <f ca="1">+L63+K63+M63</f>
        <v>-4785800.6092315055</v>
      </c>
      <c r="P63" s="47"/>
    </row>
    <row r="64" spans="1:16">
      <c r="A64" s="114"/>
      <c r="B64" s="218">
        <f>+B63+1</f>
        <v>2042</v>
      </c>
      <c r="C64" s="252">
        <f t="shared" ca="1" si="24"/>
        <v>-4785800.6092315055</v>
      </c>
      <c r="D64" s="252"/>
      <c r="E64" s="252">
        <v>0</v>
      </c>
      <c r="F64" s="253">
        <f ca="1">OFFSET($L$34,0,B64-Assumptions!$B$3)</f>
        <v>0</v>
      </c>
      <c r="G64" s="223">
        <f>'Cost Recovery Timing'!S31</f>
        <v>28.58</v>
      </c>
      <c r="H64" s="224">
        <f>Assumptions!$B$23</f>
        <v>0.02</v>
      </c>
      <c r="I64" s="253">
        <f t="shared" si="25"/>
        <v>15814.270980623483</v>
      </c>
      <c r="J64" s="253">
        <f>(G64*I64*Assumptions!$B$28)+(G63*I63*Assumptions!$B$27)+(G62*I62*Assumptions!$B$26)</f>
        <v>442292.95925917552</v>
      </c>
      <c r="K64" s="317">
        <f t="shared" ca="1" si="22"/>
        <v>-4343507.6499723298</v>
      </c>
      <c r="L64" s="253"/>
      <c r="M64" s="253"/>
      <c r="N64" s="285">
        <f ca="1">+L64+K64+M64</f>
        <v>-4343507.6499723298</v>
      </c>
      <c r="P64" s="47"/>
    </row>
    <row r="65" spans="1:17">
      <c r="A65" s="114"/>
      <c r="B65" s="218">
        <f t="shared" si="21"/>
        <v>2043</v>
      </c>
      <c r="C65" s="252">
        <f t="shared" ca="1" si="24"/>
        <v>-4343507.6499723298</v>
      </c>
      <c r="D65" s="252"/>
      <c r="E65" s="252">
        <v>0</v>
      </c>
      <c r="F65" s="253">
        <f ca="1">OFFSET($L$34,0,B65-Assumptions!$B$3)</f>
        <v>0</v>
      </c>
      <c r="G65" s="223">
        <f>'Cost Recovery Timing'!S32</f>
        <v>28.58</v>
      </c>
      <c r="H65" s="224">
        <f>Assumptions!$B$23</f>
        <v>0.02</v>
      </c>
      <c r="I65" s="253">
        <f t="shared" si="25"/>
        <v>16130.556400235953</v>
      </c>
      <c r="J65" s="253">
        <f>(G65*I65*Assumptions!$B$28)+(G64*I64*Assumptions!$B$27)+(G63*I63*Assumptions!$B$26)</f>
        <v>451138.81844435906</v>
      </c>
      <c r="K65" s="317">
        <f t="shared" ca="1" si="22"/>
        <v>-3892368.8315279707</v>
      </c>
      <c r="L65" s="253"/>
      <c r="M65" s="253"/>
      <c r="N65" s="285">
        <f t="shared" ref="N65:N82" ca="1" si="28">+L65+K65+M65</f>
        <v>-3892368.8315279707</v>
      </c>
      <c r="P65" s="47"/>
    </row>
    <row r="66" spans="1:17">
      <c r="A66" s="114"/>
      <c r="B66" s="218">
        <f>+B65+1</f>
        <v>2044</v>
      </c>
      <c r="C66" s="252">
        <f t="shared" ca="1" si="24"/>
        <v>-3892368.8315279707</v>
      </c>
      <c r="D66" s="252"/>
      <c r="E66" s="252">
        <v>0</v>
      </c>
      <c r="F66" s="253">
        <f ca="1">OFFSET($L$34,0,B66-Assumptions!$B$3)</f>
        <v>34109.736156241219</v>
      </c>
      <c r="G66" s="223">
        <f>'Cost Recovery Timing'!S33</f>
        <v>28.58</v>
      </c>
      <c r="H66" s="224">
        <f>Assumptions!$B$23</f>
        <v>0.02</v>
      </c>
      <c r="I66" s="253">
        <f t="shared" si="25"/>
        <v>16453.167528240672</v>
      </c>
      <c r="J66" s="253">
        <f>(G66*I66*Assumptions!$B$28)+(G65*I65*Assumptions!$B$27)+(G64*I64*Assumptions!$B$26)</f>
        <v>460161.59481324622</v>
      </c>
      <c r="K66" s="317">
        <f t="shared" ca="1" si="22"/>
        <v>-3466316.9728709655</v>
      </c>
      <c r="L66" s="253"/>
      <c r="M66" s="253"/>
      <c r="N66" s="285">
        <f t="shared" ca="1" si="28"/>
        <v>-3466316.9728709655</v>
      </c>
      <c r="P66" s="47"/>
    </row>
    <row r="67" spans="1:17">
      <c r="A67" s="114"/>
      <c r="B67" s="218">
        <f t="shared" si="21"/>
        <v>2045</v>
      </c>
      <c r="C67" s="252">
        <f t="shared" ca="1" si="24"/>
        <v>-3466316.9728709655</v>
      </c>
      <c r="D67" s="252"/>
      <c r="E67" s="252">
        <v>0</v>
      </c>
      <c r="F67" s="253">
        <f ca="1">OFFSET($L$34,0,B67-Assumptions!$B$3)</f>
        <v>34962.479560147243</v>
      </c>
      <c r="G67" s="223">
        <f>'Cost Recovery Timing'!S34</f>
        <v>28.58</v>
      </c>
      <c r="H67" s="224">
        <f>Assumptions!$B$23</f>
        <v>0.02</v>
      </c>
      <c r="I67" s="253">
        <f t="shared" si="25"/>
        <v>16782.230878805487</v>
      </c>
      <c r="J67" s="253">
        <f>(G67*I67*Assumptions!$B$28)+(G66*I66*Assumptions!$B$27)+(G65*I65*Assumptions!$B$26)</f>
        <v>469364.82670951117</v>
      </c>
      <c r="K67" s="317">
        <f t="shared" ca="1" si="22"/>
        <v>-3031914.6257216013</v>
      </c>
      <c r="L67" s="253"/>
      <c r="M67" s="253"/>
      <c r="N67" s="285">
        <f t="shared" ca="1" si="28"/>
        <v>-3031914.6257216013</v>
      </c>
      <c r="P67" s="47"/>
    </row>
    <row r="68" spans="1:17">
      <c r="A68" s="114"/>
      <c r="B68" s="218">
        <f t="shared" si="21"/>
        <v>2046</v>
      </c>
      <c r="C68" s="252">
        <f t="shared" ca="1" si="24"/>
        <v>-3031914.6257216013</v>
      </c>
      <c r="D68" s="252"/>
      <c r="E68" s="252">
        <v>0</v>
      </c>
      <c r="F68" s="253">
        <f ca="1">OFFSET($L$34,0,B68-Assumptions!$B$3)</f>
        <v>0</v>
      </c>
      <c r="G68" s="223">
        <f>'Cost Recovery Timing'!S35</f>
        <v>28.58</v>
      </c>
      <c r="H68" s="224">
        <f>Assumptions!$B$23</f>
        <v>0.02</v>
      </c>
      <c r="I68" s="253">
        <f t="shared" si="25"/>
        <v>17117.875496381595</v>
      </c>
      <c r="J68" s="253">
        <f>(G68*I68*Assumptions!$B$28)+(G67*I67*Assumptions!$B$27)+(G66*I66*Assumptions!$B$26)</f>
        <v>478752.12324370141</v>
      </c>
      <c r="K68" s="317">
        <f t="shared" ca="1" si="22"/>
        <v>-2553162.5024779001</v>
      </c>
      <c r="L68" s="253"/>
      <c r="M68" s="253"/>
      <c r="N68" s="285">
        <f t="shared" ca="1" si="28"/>
        <v>-2553162.5024779001</v>
      </c>
      <c r="P68" s="47"/>
    </row>
    <row r="69" spans="1:17">
      <c r="A69" s="114"/>
      <c r="B69" s="218">
        <f t="shared" si="21"/>
        <v>2047</v>
      </c>
      <c r="C69" s="252">
        <f t="shared" ca="1" si="24"/>
        <v>-2553162.5024779001</v>
      </c>
      <c r="D69" s="252"/>
      <c r="E69" s="252">
        <v>0</v>
      </c>
      <c r="F69" s="253">
        <f ca="1">OFFSET($L$34,0,B69-Assumptions!$B$3)</f>
        <v>0</v>
      </c>
      <c r="G69" s="223">
        <f>'Cost Recovery Timing'!S36</f>
        <v>28.58</v>
      </c>
      <c r="H69" s="224">
        <f>Assumptions!$B$23</f>
        <v>0.02</v>
      </c>
      <c r="I69" s="253">
        <f t="shared" si="25"/>
        <v>17460.233006309227</v>
      </c>
      <c r="J69" s="253">
        <f>(G69*I69*Assumptions!$B$28)+(G68*I68*Assumptions!$B$27)+(G67*I67*Assumptions!$B$26)</f>
        <v>488327.1657085754</v>
      </c>
      <c r="K69" s="317">
        <f t="shared" ca="1" si="22"/>
        <v>-2064835.3367693247</v>
      </c>
      <c r="L69" s="253"/>
      <c r="M69" s="253"/>
      <c r="N69" s="285">
        <f t="shared" ca="1" si="28"/>
        <v>-2064835.3367693247</v>
      </c>
      <c r="P69" s="47"/>
    </row>
    <row r="70" spans="1:17">
      <c r="A70" s="114"/>
      <c r="B70" s="218">
        <f t="shared" si="21"/>
        <v>2048</v>
      </c>
      <c r="C70" s="252">
        <f t="shared" ca="1" si="24"/>
        <v>-2064835.3367693247</v>
      </c>
      <c r="D70" s="252"/>
      <c r="E70" s="252">
        <v>0</v>
      </c>
      <c r="F70" s="253">
        <f ca="1">OFFSET($L$34,0,B70-Assumptions!$B$3)</f>
        <v>0</v>
      </c>
      <c r="G70" s="223">
        <f>'Cost Recovery Timing'!S37</f>
        <v>28.58</v>
      </c>
      <c r="H70" s="224">
        <f>Assumptions!$B$23</f>
        <v>0.02</v>
      </c>
      <c r="I70" s="253">
        <f t="shared" si="25"/>
        <v>17809.437666435413</v>
      </c>
      <c r="J70" s="253">
        <f>(G70*I70*Assumptions!$B$28)+(G69*I69*Assumptions!$B$27)+(G68*I68*Assumptions!$B$26)</f>
        <v>498093.70902274689</v>
      </c>
      <c r="K70" s="317">
        <f t="shared" ca="1" si="22"/>
        <v>-1566741.6277465778</v>
      </c>
      <c r="L70" s="253"/>
      <c r="M70" s="253"/>
      <c r="N70" s="285">
        <f t="shared" ca="1" si="28"/>
        <v>-1566741.6277465778</v>
      </c>
      <c r="P70" s="47"/>
    </row>
    <row r="71" spans="1:17">
      <c r="A71" s="114"/>
      <c r="B71" s="218">
        <f t="shared" si="21"/>
        <v>2049</v>
      </c>
      <c r="C71" s="252">
        <f t="shared" ca="1" si="24"/>
        <v>-1566741.6277465778</v>
      </c>
      <c r="D71" s="252"/>
      <c r="E71" s="252">
        <v>0</v>
      </c>
      <c r="F71" s="253">
        <f ca="1">OFFSET($L$34,0,B71-Assumptions!$B$3)</f>
        <v>113012.72655128509</v>
      </c>
      <c r="G71" s="223">
        <f>'Cost Recovery Timing'!S38</f>
        <v>28.58</v>
      </c>
      <c r="H71" s="224">
        <f>Assumptions!$B$23</f>
        <v>0.02</v>
      </c>
      <c r="I71" s="253">
        <f t="shared" si="25"/>
        <v>18165.626419764121</v>
      </c>
      <c r="J71" s="253">
        <f>(G71*I71*Assumptions!$B$28)+(G70*I70*Assumptions!$B$27)+(G69*I69*Assumptions!$B$26)</f>
        <v>508055.58320320188</v>
      </c>
      <c r="K71" s="317">
        <f t="shared" ca="1" si="22"/>
        <v>-1171698.771094661</v>
      </c>
      <c r="L71" s="253"/>
      <c r="M71" s="253"/>
      <c r="N71" s="285">
        <f t="shared" ca="1" si="28"/>
        <v>-1171698.771094661</v>
      </c>
      <c r="P71" s="47"/>
    </row>
    <row r="72" spans="1:17">
      <c r="B72" s="218">
        <f t="shared" si="21"/>
        <v>2050</v>
      </c>
      <c r="C72" s="317">
        <f t="shared" ca="1" si="24"/>
        <v>-1171698.771094661</v>
      </c>
      <c r="D72" s="317"/>
      <c r="E72" s="317">
        <v>0</v>
      </c>
      <c r="F72" s="255">
        <f ca="1">OFFSET($L$34,0,B72-Assumptions!$B$3)</f>
        <v>115838.04471506723</v>
      </c>
      <c r="G72" s="225">
        <f>'Cost Recovery Timing'!S39</f>
        <v>28.58</v>
      </c>
      <c r="H72" s="224">
        <f>Assumptions!$B$23</f>
        <v>0.02</v>
      </c>
      <c r="I72" s="253">
        <f t="shared" si="25"/>
        <v>18528.938948159404</v>
      </c>
      <c r="J72" s="255">
        <f>(G72*I72*Assumptions!$B$28)+(G71*I71*Assumptions!$B$27)+(G70*I70*Assumptions!$B$26)</f>
        <v>518216.69486726588</v>
      </c>
      <c r="K72" s="317">
        <f t="shared" ca="1" si="22"/>
        <v>-769320.12094246235</v>
      </c>
      <c r="L72" s="255"/>
      <c r="M72" s="255"/>
      <c r="N72" s="285">
        <f t="shared" ca="1" si="28"/>
        <v>-769320.12094246235</v>
      </c>
      <c r="P72" s="47"/>
    </row>
    <row r="73" spans="1:17">
      <c r="A73" s="226" t="s">
        <v>184</v>
      </c>
      <c r="B73" s="293">
        <f t="shared" si="21"/>
        <v>2051</v>
      </c>
      <c r="C73" s="296">
        <f t="shared" ca="1" si="24"/>
        <v>-769320.12094246235</v>
      </c>
      <c r="D73" s="296"/>
      <c r="E73" s="296">
        <v>0</v>
      </c>
      <c r="F73" s="297">
        <f ca="1">OFFSET($L$34,0,B73-Assumptions!$B$3)</f>
        <v>0</v>
      </c>
      <c r="G73" s="227">
        <f>'Cost Recovery Timing'!S40</f>
        <v>10.104000000000042</v>
      </c>
      <c r="H73" s="228">
        <f>Assumptions!$B$23</f>
        <v>0.02</v>
      </c>
      <c r="I73" s="297">
        <f t="shared" si="25"/>
        <v>18899.517727122591</v>
      </c>
      <c r="J73" s="297">
        <f>(G73*I73*Assumptions!$B$28)+(G72*I72*Assumptions!$B$27)+(G71*I71*Assumptions!$B$26)</f>
        <v>423824.78190671641</v>
      </c>
      <c r="K73" s="296">
        <f t="shared" ca="1" si="22"/>
        <v>-345495.33903574594</v>
      </c>
      <c r="L73" s="297"/>
      <c r="M73" s="297"/>
      <c r="N73" s="302">
        <f t="shared" ca="1" si="28"/>
        <v>-345495.33903574594</v>
      </c>
      <c r="P73" s="47"/>
    </row>
    <row r="74" spans="1:17" ht="15" customHeight="1">
      <c r="B74" s="218">
        <f t="shared" si="21"/>
        <v>2052</v>
      </c>
      <c r="C74" s="252">
        <f t="shared" ca="1" si="24"/>
        <v>-345495.33903574594</v>
      </c>
      <c r="D74" s="252"/>
      <c r="E74" s="252">
        <v>0</v>
      </c>
      <c r="F74" s="253">
        <f ca="1">OFFSET($L$34,0,B74-Assumptions!$B$3)</f>
        <v>0</v>
      </c>
      <c r="G74" s="223">
        <f>'Cost Recovery Timing'!S41</f>
        <v>0</v>
      </c>
      <c r="H74" s="224">
        <f>Assumptions!$B$23</f>
        <v>0.02</v>
      </c>
      <c r="I74" s="253">
        <f t="shared" si="25"/>
        <v>0</v>
      </c>
      <c r="J74" s="253">
        <f>(G74*I74*Assumptions!$B$28)+(G73*I73*Assumptions!$B$27)+(G72*I72*Assumptions!$B$26)</f>
        <v>269111.04818981257</v>
      </c>
      <c r="K74" s="255">
        <f t="shared" ca="1" si="22"/>
        <v>-76384.29084593337</v>
      </c>
      <c r="L74" s="253"/>
      <c r="M74" s="253"/>
      <c r="N74" s="633">
        <f t="shared" ca="1" si="28"/>
        <v>-76384.29084593337</v>
      </c>
      <c r="O74" s="781" t="s">
        <v>325</v>
      </c>
      <c r="P74" s="782"/>
      <c r="Q74" s="782"/>
    </row>
    <row r="75" spans="1:17">
      <c r="B75" s="218">
        <f t="shared" si="21"/>
        <v>2053</v>
      </c>
      <c r="C75" s="252">
        <f t="shared" ca="1" si="24"/>
        <v>-76384.29084593337</v>
      </c>
      <c r="D75" s="252"/>
      <c r="E75" s="252">
        <v>0</v>
      </c>
      <c r="F75" s="253">
        <f ca="1">OFFSET($L$34,0,B75-Assumptions!$B$3)</f>
        <v>0</v>
      </c>
      <c r="G75" s="223">
        <f>'Cost Recovery Timing'!S42</f>
        <v>0</v>
      </c>
      <c r="H75" s="224">
        <f>Assumptions!$B$23</f>
        <v>0.02</v>
      </c>
      <c r="I75" s="253">
        <f t="shared" si="25"/>
        <v>0</v>
      </c>
      <c r="J75" s="253">
        <f>(G75*I75*Assumptions!$B$28)+(G74*I74*Assumptions!$B$27)+(G73*I73*Assumptions!$B$26)</f>
        <v>76384.290845938987</v>
      </c>
      <c r="K75" s="255">
        <f t="shared" ca="1" si="22"/>
        <v>5.6170392781496048E-9</v>
      </c>
      <c r="L75" s="253"/>
      <c r="M75" s="253"/>
      <c r="N75" s="633">
        <f ca="1">+L75+K75+M75</f>
        <v>5.6170392781496048E-9</v>
      </c>
      <c r="O75" s="781"/>
      <c r="P75" s="782"/>
      <c r="Q75" s="782"/>
    </row>
    <row r="76" spans="1:17">
      <c r="B76" s="218">
        <f t="shared" si="21"/>
        <v>2054</v>
      </c>
      <c r="C76" s="252">
        <f t="shared" ca="1" si="24"/>
        <v>5.6170392781496048E-9</v>
      </c>
      <c r="D76" s="252"/>
      <c r="E76" s="252">
        <v>0</v>
      </c>
      <c r="F76" s="253">
        <f ca="1">OFFSET($L$34,0,B76-Assumptions!$B$3)</f>
        <v>0</v>
      </c>
      <c r="G76" s="223">
        <f>'Cost Recovery Timing'!S43</f>
        <v>0</v>
      </c>
      <c r="H76" s="224">
        <f>Assumptions!$B$23</f>
        <v>0.02</v>
      </c>
      <c r="I76" s="253">
        <f t="shared" si="25"/>
        <v>0</v>
      </c>
      <c r="J76" s="253">
        <f>(G76*I76*Assumptions!$B$28)+(G75*I75*Assumptions!$B$27)+(G74*I74*Assumptions!$B$26)</f>
        <v>0</v>
      </c>
      <c r="K76" s="255">
        <f t="shared" ca="1" si="22"/>
        <v>5.6170392781496048E-9</v>
      </c>
      <c r="L76" s="253"/>
      <c r="M76" s="253"/>
      <c r="N76" s="285">
        <f t="shared" ca="1" si="28"/>
        <v>5.6170392781496048E-9</v>
      </c>
      <c r="O76" s="781"/>
      <c r="P76" s="782"/>
      <c r="Q76" s="782"/>
    </row>
    <row r="77" spans="1:17">
      <c r="B77" s="218">
        <f t="shared" si="21"/>
        <v>2055</v>
      </c>
      <c r="C77" s="252">
        <f t="shared" ca="1" si="24"/>
        <v>5.6170392781496048E-9</v>
      </c>
      <c r="D77" s="252"/>
      <c r="E77" s="252">
        <v>0</v>
      </c>
      <c r="F77" s="253">
        <f ca="1">OFFSET($L$34,0,B77-Assumptions!$B$3)</f>
        <v>0</v>
      </c>
      <c r="G77" s="223">
        <f>'Cost Recovery Timing'!S44</f>
        <v>0</v>
      </c>
      <c r="H77" s="224">
        <f>Assumptions!$B$23</f>
        <v>0.02</v>
      </c>
      <c r="I77" s="253">
        <f t="shared" si="25"/>
        <v>0</v>
      </c>
      <c r="J77" s="253">
        <f>(G77*I77*Assumptions!$B$28)+(G76*I76*Assumptions!$B$27)+(G75*I75*Assumptions!$B$26)</f>
        <v>0</v>
      </c>
      <c r="K77" s="255">
        <f t="shared" ca="1" si="22"/>
        <v>5.6170392781496048E-9</v>
      </c>
      <c r="L77" s="253"/>
      <c r="M77" s="253"/>
      <c r="N77" s="285">
        <f t="shared" ca="1" si="28"/>
        <v>5.6170392781496048E-9</v>
      </c>
    </row>
    <row r="78" spans="1:17">
      <c r="B78" s="218">
        <f t="shared" si="21"/>
        <v>2056</v>
      </c>
      <c r="C78" s="252">
        <f t="shared" ca="1" si="24"/>
        <v>5.6170392781496048E-9</v>
      </c>
      <c r="D78" s="252"/>
      <c r="E78" s="252">
        <v>0</v>
      </c>
      <c r="F78" s="253">
        <f ca="1">OFFSET($L$34,0,B78-Assumptions!$B$3)</f>
        <v>0</v>
      </c>
      <c r="G78" s="223">
        <f>'Cost Recovery Timing'!S45</f>
        <v>0</v>
      </c>
      <c r="H78" s="224">
        <f>Assumptions!$B$23</f>
        <v>0.02</v>
      </c>
      <c r="I78" s="253">
        <f t="shared" si="25"/>
        <v>0</v>
      </c>
      <c r="J78" s="253">
        <f>(G78*I78*Assumptions!$B$28)+(G77*I77*Assumptions!$B$27)+(G76*I76*Assumptions!$B$26)</f>
        <v>0</v>
      </c>
      <c r="K78" s="255">
        <f t="shared" ca="1" si="22"/>
        <v>5.6170392781496048E-9</v>
      </c>
      <c r="L78" s="253"/>
      <c r="M78" s="253"/>
      <c r="N78" s="285">
        <f t="shared" ca="1" si="28"/>
        <v>5.6170392781496048E-9</v>
      </c>
    </row>
    <row r="79" spans="1:17">
      <c r="B79" s="218">
        <f t="shared" si="21"/>
        <v>2057</v>
      </c>
      <c r="C79" s="252">
        <f t="shared" ca="1" si="24"/>
        <v>5.6170392781496048E-9</v>
      </c>
      <c r="D79" s="252"/>
      <c r="E79" s="252">
        <v>0</v>
      </c>
      <c r="F79" s="253">
        <f ca="1">OFFSET($L$34,0,B79-Assumptions!$B$3)</f>
        <v>0</v>
      </c>
      <c r="G79" s="223">
        <f>'Cost Recovery Timing'!S46</f>
        <v>0</v>
      </c>
      <c r="H79" s="224">
        <f>Assumptions!$B$23</f>
        <v>0.02</v>
      </c>
      <c r="I79" s="253">
        <f t="shared" si="25"/>
        <v>0</v>
      </c>
      <c r="J79" s="253">
        <f>(G79*I79*Assumptions!$B$28)+(G78*I78*Assumptions!$B$27)+(G77*I77*Assumptions!$B$26)</f>
        <v>0</v>
      </c>
      <c r="K79" s="255">
        <f t="shared" ca="1" si="22"/>
        <v>5.6170392781496048E-9</v>
      </c>
      <c r="L79" s="253"/>
      <c r="M79" s="253"/>
      <c r="N79" s="285">
        <f t="shared" ca="1" si="28"/>
        <v>5.6170392781496048E-9</v>
      </c>
    </row>
    <row r="80" spans="1:17">
      <c r="B80" s="218">
        <f t="shared" si="21"/>
        <v>2058</v>
      </c>
      <c r="C80" s="252">
        <f t="shared" ca="1" si="24"/>
        <v>5.6170392781496048E-9</v>
      </c>
      <c r="D80" s="252"/>
      <c r="E80" s="252">
        <v>0</v>
      </c>
      <c r="F80" s="253">
        <f ca="1">OFFSET($L$34,0,B80-Assumptions!$B$3)</f>
        <v>0</v>
      </c>
      <c r="G80" s="223">
        <f>'Cost Recovery Timing'!S47</f>
        <v>0</v>
      </c>
      <c r="H80" s="224">
        <f>Assumptions!$B$23</f>
        <v>0.02</v>
      </c>
      <c r="I80" s="253">
        <f t="shared" si="25"/>
        <v>0</v>
      </c>
      <c r="J80" s="253">
        <f>(G80*I80*Assumptions!$B$28)+(G79*I79*Assumptions!$B$27)+(G78*I78*Assumptions!$B$26)</f>
        <v>0</v>
      </c>
      <c r="K80" s="255">
        <f t="shared" ca="1" si="22"/>
        <v>5.6170392781496048E-9</v>
      </c>
      <c r="L80" s="253"/>
      <c r="M80" s="253"/>
      <c r="N80" s="285">
        <f t="shared" ca="1" si="28"/>
        <v>5.6170392781496048E-9</v>
      </c>
    </row>
    <row r="81" spans="2:14">
      <c r="B81" s="218">
        <f t="shared" si="21"/>
        <v>2059</v>
      </c>
      <c r="C81" s="252">
        <f t="shared" ca="1" si="24"/>
        <v>5.6170392781496048E-9</v>
      </c>
      <c r="D81" s="252"/>
      <c r="E81" s="252">
        <v>0</v>
      </c>
      <c r="F81" s="253">
        <f ca="1">OFFSET($L$34,0,B81-Assumptions!$B$3)</f>
        <v>0</v>
      </c>
      <c r="G81" s="223">
        <f>'Cost Recovery Timing'!S48</f>
        <v>0</v>
      </c>
      <c r="H81" s="224">
        <f>Assumptions!$B$23</f>
        <v>0.02</v>
      </c>
      <c r="I81" s="253">
        <f t="shared" si="25"/>
        <v>0</v>
      </c>
      <c r="J81" s="253">
        <f>(G81*I81*Assumptions!$B$28)+(G80*I80*Assumptions!$B$27)+(G79*I79*Assumptions!$B$26)</f>
        <v>0</v>
      </c>
      <c r="K81" s="255">
        <f t="shared" ca="1" si="22"/>
        <v>5.6170392781496048E-9</v>
      </c>
      <c r="L81" s="253"/>
      <c r="M81" s="253"/>
      <c r="N81" s="285">
        <f t="shared" ca="1" si="28"/>
        <v>5.6170392781496048E-9</v>
      </c>
    </row>
    <row r="82" spans="2:14" ht="15" thickBot="1">
      <c r="B82" s="221">
        <f t="shared" si="21"/>
        <v>2060</v>
      </c>
      <c r="C82" s="258">
        <f t="shared" ca="1" si="24"/>
        <v>5.6170392781496048E-9</v>
      </c>
      <c r="D82" s="258"/>
      <c r="E82" s="258">
        <v>0</v>
      </c>
      <c r="F82" s="283">
        <f ca="1">OFFSET($L$34,0,B82-Assumptions!$B$3)</f>
        <v>0</v>
      </c>
      <c r="G82" s="229">
        <f>'Cost Recovery Timing'!S49</f>
        <v>0</v>
      </c>
      <c r="H82" s="230">
        <f>Assumptions!$B$23</f>
        <v>0.02</v>
      </c>
      <c r="I82" s="283">
        <f t="shared" si="25"/>
        <v>0</v>
      </c>
      <c r="J82" s="283">
        <f>(G82*I82*Assumptions!$B$28)+(G81*I81*Assumptions!$B$27)+(G80*I80*Assumptions!$B$26)</f>
        <v>0</v>
      </c>
      <c r="K82" s="284">
        <f t="shared" ca="1" si="22"/>
        <v>5.6170392781496048E-9</v>
      </c>
      <c r="L82" s="283"/>
      <c r="M82" s="283"/>
      <c r="N82" s="287">
        <f t="shared" ca="1" si="28"/>
        <v>5.6170392781496048E-9</v>
      </c>
    </row>
    <row r="83" spans="2:14">
      <c r="B83" s="113"/>
      <c r="C83" s="115"/>
      <c r="D83" s="116"/>
      <c r="E83" s="117"/>
      <c r="F83" s="118"/>
      <c r="G83" s="116"/>
      <c r="H83" s="116"/>
      <c r="I83" s="119"/>
      <c r="J83" s="119"/>
      <c r="K83" s="120"/>
      <c r="L83" s="121"/>
    </row>
    <row r="84" spans="2:14">
      <c r="B84" s="113"/>
      <c r="C84" s="115"/>
      <c r="D84" s="116"/>
      <c r="E84" s="117"/>
      <c r="F84" s="118"/>
      <c r="G84" s="116"/>
      <c r="H84" s="116"/>
      <c r="I84" s="119"/>
      <c r="J84" s="119"/>
      <c r="K84" s="120"/>
      <c r="L84" s="121"/>
    </row>
    <row r="85" spans="2:14">
      <c r="B85" s="113"/>
      <c r="C85" s="115"/>
      <c r="D85" s="116"/>
      <c r="E85" s="117"/>
      <c r="F85" s="118"/>
      <c r="G85" s="116"/>
      <c r="H85" s="116"/>
      <c r="I85" s="119"/>
      <c r="J85" s="119"/>
      <c r="K85" s="120"/>
      <c r="L85" s="121"/>
    </row>
    <row r="86" spans="2:14">
      <c r="B86" s="113"/>
      <c r="C86" s="115"/>
      <c r="D86" s="116"/>
      <c r="E86" s="117"/>
      <c r="F86" s="118"/>
      <c r="G86" s="116"/>
      <c r="H86" s="116"/>
      <c r="I86" s="119">
        <v>10485</v>
      </c>
      <c r="J86" s="119"/>
      <c r="K86" s="120"/>
      <c r="L86" s="121"/>
    </row>
    <row r="87" spans="2:14">
      <c r="B87" s="113"/>
      <c r="C87" s="115"/>
      <c r="D87" s="116"/>
      <c r="E87" s="117"/>
      <c r="F87" s="118"/>
      <c r="G87" s="116"/>
      <c r="H87" s="116"/>
      <c r="I87" s="119">
        <f>I39-I86</f>
        <v>1034.8394927776735</v>
      </c>
      <c r="J87" s="119"/>
      <c r="K87" s="120"/>
      <c r="L87" s="121"/>
    </row>
    <row r="88" spans="2:14">
      <c r="B88" s="113"/>
      <c r="C88" s="115"/>
      <c r="D88" s="116"/>
      <c r="E88" s="117"/>
      <c r="F88" s="118"/>
      <c r="G88" s="116"/>
      <c r="H88" s="116"/>
      <c r="I88" s="679">
        <f>I87/I86</f>
        <v>9.8697138080846306E-2</v>
      </c>
      <c r="J88" s="119"/>
      <c r="K88" s="120"/>
      <c r="L88" s="121"/>
    </row>
    <row r="89" spans="2:14">
      <c r="B89" s="113"/>
      <c r="C89" s="115"/>
      <c r="D89" s="116"/>
      <c r="E89" s="117"/>
      <c r="F89" s="118"/>
      <c r="G89" s="116"/>
      <c r="H89" s="116"/>
      <c r="I89" s="119"/>
      <c r="J89" s="119"/>
      <c r="K89" s="120"/>
      <c r="L89" s="121"/>
    </row>
    <row r="90" spans="2:14">
      <c r="B90" s="113"/>
      <c r="C90" s="115"/>
      <c r="D90" s="116"/>
      <c r="E90" s="117"/>
      <c r="F90" s="118"/>
      <c r="G90" s="116"/>
      <c r="H90" s="116"/>
      <c r="I90" s="119"/>
      <c r="J90" s="119"/>
      <c r="K90" s="120"/>
      <c r="L90" s="121"/>
    </row>
    <row r="91" spans="2:14">
      <c r="B91" s="113"/>
      <c r="C91" s="115"/>
      <c r="D91" s="116"/>
      <c r="E91" s="117"/>
      <c r="F91" s="118"/>
      <c r="G91" s="116"/>
      <c r="H91" s="116"/>
      <c r="I91" s="119"/>
      <c r="J91" s="119"/>
      <c r="K91" s="120"/>
      <c r="L91" s="121"/>
    </row>
    <row r="92" spans="2:14">
      <c r="B92" s="113"/>
      <c r="C92" s="115"/>
      <c r="D92" s="116"/>
      <c r="E92" s="117"/>
      <c r="F92" s="118"/>
      <c r="G92" s="116"/>
      <c r="H92" s="116"/>
      <c r="I92" s="119"/>
      <c r="J92" s="119"/>
      <c r="K92" s="120"/>
      <c r="L92" s="121"/>
    </row>
    <row r="93" spans="2:14">
      <c r="B93" s="113"/>
      <c r="C93" s="115"/>
      <c r="D93" s="116"/>
      <c r="E93" s="117"/>
      <c r="F93" s="118"/>
      <c r="G93" s="116"/>
      <c r="H93" s="116"/>
      <c r="I93" s="119"/>
      <c r="J93" s="119"/>
      <c r="K93" s="120"/>
      <c r="L93" s="121"/>
    </row>
  </sheetData>
  <dataConsolidate/>
  <mergeCells count="25">
    <mergeCell ref="O74:Q76"/>
    <mergeCell ref="N38:N42"/>
    <mergeCell ref="L39:M39"/>
    <mergeCell ref="K8:K9"/>
    <mergeCell ref="K38:K40"/>
    <mergeCell ref="L38:M38"/>
    <mergeCell ref="C38:C40"/>
    <mergeCell ref="F38:F40"/>
    <mergeCell ref="G38:G40"/>
    <mergeCell ref="J38:J40"/>
    <mergeCell ref="D38:D41"/>
    <mergeCell ref="E38:E40"/>
    <mergeCell ref="H38:H41"/>
    <mergeCell ref="B3:J3"/>
    <mergeCell ref="B4:J4"/>
    <mergeCell ref="B5:J5"/>
    <mergeCell ref="A8:A10"/>
    <mergeCell ref="B8:B10"/>
    <mergeCell ref="C8:E8"/>
    <mergeCell ref="F8:F9"/>
    <mergeCell ref="I8:I10"/>
    <mergeCell ref="J8:J10"/>
    <mergeCell ref="C9:C10"/>
    <mergeCell ref="D9:D10"/>
    <mergeCell ref="E9:E10"/>
  </mergeCells>
  <pageMargins left="0.7" right="0.7" top="0.75" bottom="0.75" header="0.3" footer="0.3"/>
  <pageSetup orientation="portrait" r:id="rId1"/>
  <ignoredErrors>
    <ignoredError sqref="E33 E12:E23 G33:K33 G12:K23" unlockedFormula="1"/>
  </ignoredErrors>
  <tableParts count="1">
    <tablePart r:id="rId2"/>
  </tablePart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4AD898-DFDD-47D2-9529-C1EFBB6488A7}">
  <sheetPr codeName="Sheet62">
    <tabColor rgb="FFFF7C80"/>
  </sheetPr>
  <dimension ref="A1:AF59"/>
  <sheetViews>
    <sheetView showGridLines="0" topLeftCell="A16" zoomScale="85" zoomScaleNormal="85" workbookViewId="0">
      <selection activeCell="M57" sqref="M57"/>
    </sheetView>
  </sheetViews>
  <sheetFormatPr defaultRowHeight="14.4"/>
  <cols>
    <col min="1" max="1" width="44" customWidth="1"/>
    <col min="3" max="3" width="19" customWidth="1"/>
    <col min="4" max="4" width="10.109375" bestFit="1" customWidth="1"/>
    <col min="5" max="5" width="12" customWidth="1"/>
    <col min="6" max="27" width="11.109375" bestFit="1" customWidth="1"/>
    <col min="28" max="28" width="12.88671875" customWidth="1"/>
    <col min="29" max="29" width="13.21875" customWidth="1"/>
    <col min="30" max="30" width="12.44140625" customWidth="1"/>
    <col min="31" max="31" width="13.44140625" customWidth="1"/>
    <col min="32" max="32" width="13.5546875" customWidth="1"/>
  </cols>
  <sheetData>
    <row r="1" spans="1:32">
      <c r="A1" t="s">
        <v>278</v>
      </c>
      <c r="F1" s="127"/>
      <c r="I1" s="127"/>
    </row>
    <row r="2" spans="1:32">
      <c r="H2" s="127"/>
    </row>
    <row r="3" spans="1:32">
      <c r="A3" s="592"/>
      <c r="B3" s="55" t="s">
        <v>0</v>
      </c>
      <c r="C3" s="142">
        <v>2025</v>
      </c>
      <c r="D3" s="142">
        <v>2026</v>
      </c>
      <c r="E3" s="142">
        <v>2027</v>
      </c>
      <c r="F3" s="142">
        <v>2028</v>
      </c>
      <c r="G3" s="142">
        <v>2029</v>
      </c>
      <c r="H3" s="142">
        <v>2030</v>
      </c>
      <c r="I3" s="142">
        <v>2031</v>
      </c>
      <c r="J3" s="142">
        <v>2032</v>
      </c>
      <c r="K3" s="142">
        <v>2033</v>
      </c>
      <c r="L3" s="142">
        <v>2034</v>
      </c>
      <c r="M3" s="142">
        <v>2035</v>
      </c>
      <c r="N3" s="142">
        <v>2036</v>
      </c>
      <c r="O3" s="142">
        <v>2037</v>
      </c>
      <c r="P3" s="142">
        <v>2038</v>
      </c>
      <c r="Q3" s="142">
        <v>2039</v>
      </c>
      <c r="R3" s="142">
        <v>2040</v>
      </c>
      <c r="S3" s="142">
        <v>2041</v>
      </c>
      <c r="T3" s="142">
        <v>2042</v>
      </c>
      <c r="U3" s="142">
        <v>2043</v>
      </c>
      <c r="V3" s="142">
        <v>2044</v>
      </c>
      <c r="W3" s="142">
        <v>2045</v>
      </c>
      <c r="X3" s="142">
        <v>2046</v>
      </c>
      <c r="Y3" s="142">
        <v>2047</v>
      </c>
      <c r="Z3" s="142">
        <v>2048</v>
      </c>
      <c r="AA3" s="142">
        <v>2049</v>
      </c>
      <c r="AB3" s="142">
        <v>2050</v>
      </c>
      <c r="AC3" s="142">
        <v>2051</v>
      </c>
      <c r="AD3" s="142">
        <v>2052</v>
      </c>
      <c r="AE3" s="142">
        <v>2053</v>
      </c>
    </row>
    <row r="4" spans="1:32">
      <c r="A4" s="813" t="s">
        <v>282</v>
      </c>
      <c r="B4" s="814"/>
      <c r="C4" s="815"/>
      <c r="D4" s="143">
        <f>INDEX('San Collection - Oversize'!$J$48:$J$74,MATCH(D3,'San Collection - Oversize'!$B$48:$B$74,0))</f>
        <v>63852.166340568088</v>
      </c>
      <c r="E4" s="143">
        <f>INDEX('San Collection - Oversize'!$J$48:$J$74,MATCH(E3,'San Collection - Oversize'!$B$48:$B$74,0))</f>
        <v>164598.69222786537</v>
      </c>
      <c r="F4" s="143">
        <f>INDEX('San Collection - Oversize'!$J$48:$J$74,MATCH(F3,'San Collection - Oversize'!$B$48:$B$74,0))</f>
        <v>288644.2040797646</v>
      </c>
      <c r="G4" s="143">
        <f>INDEX('San Collection - Oversize'!$J$48:$J$74,MATCH(G3,'San Collection - Oversize'!$B$48:$B$74,0))</f>
        <v>341906.84312125039</v>
      </c>
      <c r="H4" s="143">
        <f>INDEX('San Collection - Oversize'!$J$48:$J$74,MATCH(H3,'San Collection - Oversize'!$B$48:$B$74,0))</f>
        <v>348744.97998367535</v>
      </c>
      <c r="I4" s="143">
        <f>INDEX('San Collection - Oversize'!$J$48:$J$74,MATCH(I3,'San Collection - Oversize'!$B$48:$B$74,0))</f>
        <v>355719.87958334887</v>
      </c>
      <c r="J4" s="143">
        <f>INDEX('San Collection - Oversize'!$J$48:$J$74,MATCH(J3,'San Collection - Oversize'!$B$48:$B$74,0))</f>
        <v>362834.27717501589</v>
      </c>
      <c r="K4" s="143">
        <f>INDEX('San Collection - Oversize'!$J$48:$J$74,MATCH(K3,'San Collection - Oversize'!$B$48:$B$74,0))</f>
        <v>370090.96271851624</v>
      </c>
      <c r="L4" s="143">
        <f>INDEX('San Collection - Oversize'!$J$48:$J$74,MATCH(L3,'San Collection - Oversize'!$B$48:$B$74,0))</f>
        <v>377492.78197288653</v>
      </c>
      <c r="M4" s="143">
        <f>INDEX('San Collection - Oversize'!$J$48:$J$74,MATCH(M3,'San Collection - Oversize'!$B$48:$B$74,0))</f>
        <v>385042.63761234423</v>
      </c>
      <c r="N4" s="143">
        <f>INDEX('San Collection - Oversize'!$J$48:$J$74,MATCH(N3,'San Collection - Oversize'!$B$48:$B$74,0))</f>
        <v>392743.49036459113</v>
      </c>
      <c r="O4" s="143">
        <f>INDEX('San Collection - Oversize'!$J$48:$J$74,MATCH(O3,'San Collection - Oversize'!$B$48:$B$74,0))</f>
        <v>400598.36017188302</v>
      </c>
      <c r="P4" s="143">
        <f>INDEX('San Collection - Oversize'!$J$48:$J$74,MATCH(P3,'San Collection - Oversize'!$B$48:$B$74,0))</f>
        <v>408610.32737532072</v>
      </c>
      <c r="Q4" s="143">
        <f>INDEX('San Collection - Oversize'!$J$48:$J$74,MATCH(Q3,'San Collection - Oversize'!$B$48:$B$74,0))</f>
        <v>416782.5339228271</v>
      </c>
      <c r="R4" s="143">
        <f>INDEX('San Collection - Oversize'!$J$48:$J$74,MATCH(R3,'San Collection - Oversize'!$B$48:$B$74,0))</f>
        <v>425118.18460128363</v>
      </c>
      <c r="S4" s="143">
        <f>INDEX('San Collection - Oversize'!$J$48:$J$74,MATCH(S3,'San Collection - Oversize'!$B$48:$B$74,0))</f>
        <v>433620.54829330929</v>
      </c>
      <c r="T4" s="143">
        <f>INDEX('San Collection - Oversize'!$J$48:$J$74,MATCH(T3,'San Collection - Oversize'!$B$48:$B$74,0))</f>
        <v>442292.95925917552</v>
      </c>
      <c r="U4" s="143">
        <f>INDEX('San Collection - Oversize'!$J$48:$J$74,MATCH(U3,'San Collection - Oversize'!$B$48:$B$74,0))</f>
        <v>451138.81844435906</v>
      </c>
      <c r="V4" s="143">
        <f>INDEX('San Collection - Oversize'!$J$48:$J$74,MATCH(V3,'San Collection - Oversize'!$B$48:$B$74,0))</f>
        <v>460161.59481324622</v>
      </c>
      <c r="W4" s="143">
        <f>INDEX('San Collection - Oversize'!$J$48:$J$74,MATCH(W3,'San Collection - Oversize'!$B$48:$B$74,0))</f>
        <v>469364.82670951117</v>
      </c>
      <c r="X4" s="143">
        <f>INDEX('San Collection - Oversize'!$J$48:$J$74,MATCH(X3,'San Collection - Oversize'!$B$48:$B$74,0))</f>
        <v>478752.12324370141</v>
      </c>
      <c r="Y4" s="143">
        <f>INDEX('San Collection - Oversize'!$J$48:$J$74,MATCH(Y3,'San Collection - Oversize'!$B$48:$B$74,0))</f>
        <v>488327.1657085754</v>
      </c>
      <c r="Z4" s="143">
        <f>INDEX('San Collection - Oversize'!$J$48:$J$74,MATCH(Z3,'San Collection - Oversize'!$B$48:$B$74,0))</f>
        <v>498093.70902274689</v>
      </c>
      <c r="AA4" s="143">
        <f>INDEX('San Collection - Oversize'!$J$48:$J$74,MATCH(AA3,'San Collection - Oversize'!$B$48:$B$74,0))</f>
        <v>508055.58320320188</v>
      </c>
      <c r="AB4" s="143">
        <f>INDEX('San Collection - Oversize'!$J$48:$J$74,MATCH(AB3,'San Collection - Oversize'!$B$48:$B$74,0))</f>
        <v>518216.69486726588</v>
      </c>
      <c r="AC4" s="143">
        <f>INDEX('San Collection - Oversize'!$J$48:$J$74,MATCH(AC3,'San Collection - Oversize'!$B$48:$B$74,0))</f>
        <v>423824.78190671641</v>
      </c>
      <c r="AD4" s="143">
        <f>INDEX('San Collection - Oversize'!$J$48:$J$74,MATCH(AD3,'San Collection - Oversize'!$B$48:$B$74,0))</f>
        <v>269111.04818981257</v>
      </c>
      <c r="AE4" s="143">
        <f>INDEX('San Collection - Oversize'!$J$48:$J$75,MATCH(AE3,'San Collection - Oversize'!$B$48:$B$75,0))</f>
        <v>76384.290845938987</v>
      </c>
    </row>
    <row r="5" spans="1:32">
      <c r="A5" s="816" t="s">
        <v>283</v>
      </c>
      <c r="B5" s="817"/>
      <c r="C5" s="818"/>
      <c r="D5" s="126">
        <f>D4</f>
        <v>63852.166340568088</v>
      </c>
      <c r="E5" s="126">
        <f>D5+E4</f>
        <v>228450.85856843344</v>
      </c>
      <c r="F5" s="126">
        <f>E5+F4</f>
        <v>517095.06264819804</v>
      </c>
      <c r="G5" s="126">
        <f>F5+G4</f>
        <v>859001.90576944849</v>
      </c>
      <c r="H5" s="126">
        <f>G5+H4</f>
        <v>1207746.8857531238</v>
      </c>
      <c r="I5" s="126">
        <f>H5+I4</f>
        <v>1563466.7653364725</v>
      </c>
      <c r="J5" s="126">
        <f t="shared" ref="J5:AE5" si="0">I5+J4</f>
        <v>1926301.0425114883</v>
      </c>
      <c r="K5" s="126">
        <f>J5+K4</f>
        <v>2296392.0052300044</v>
      </c>
      <c r="L5" s="126">
        <f>K5+L4</f>
        <v>2673884.787202891</v>
      </c>
      <c r="M5" s="126">
        <f>L5+M4</f>
        <v>3058927.4248152352</v>
      </c>
      <c r="N5" s="126">
        <f>M5+N4</f>
        <v>3451670.9151798263</v>
      </c>
      <c r="O5" s="126">
        <f>N5+O4</f>
        <v>3852269.2753517092</v>
      </c>
      <c r="P5" s="126">
        <f t="shared" si="0"/>
        <v>4260879.6027270295</v>
      </c>
      <c r="Q5" s="126">
        <f t="shared" si="0"/>
        <v>4677662.1366498563</v>
      </c>
      <c r="R5" s="126">
        <f t="shared" si="0"/>
        <v>5102780.32125114</v>
      </c>
      <c r="S5" s="126">
        <f t="shared" si="0"/>
        <v>5536400.8695444493</v>
      </c>
      <c r="T5" s="126">
        <f t="shared" si="0"/>
        <v>5978693.828803625</v>
      </c>
      <c r="U5" s="126">
        <f t="shared" si="0"/>
        <v>6429832.6472479841</v>
      </c>
      <c r="V5" s="126">
        <f t="shared" si="0"/>
        <v>6889994.2420612304</v>
      </c>
      <c r="W5" s="126">
        <f t="shared" si="0"/>
        <v>7359359.0687707411</v>
      </c>
      <c r="X5" s="126">
        <f t="shared" si="0"/>
        <v>7838111.1920144428</v>
      </c>
      <c r="Y5" s="126">
        <f t="shared" si="0"/>
        <v>8326438.3577230182</v>
      </c>
      <c r="Z5" s="126">
        <f t="shared" si="0"/>
        <v>8824532.0667457655</v>
      </c>
      <c r="AA5" s="126">
        <f t="shared" si="0"/>
        <v>9332587.6499489676</v>
      </c>
      <c r="AB5" s="126">
        <f t="shared" si="0"/>
        <v>9850804.344816234</v>
      </c>
      <c r="AC5" s="126">
        <f t="shared" si="0"/>
        <v>10274629.12672295</v>
      </c>
      <c r="AD5" s="126">
        <f t="shared" si="0"/>
        <v>10543740.174912764</v>
      </c>
      <c r="AE5" s="126">
        <f t="shared" si="0"/>
        <v>10620124.465758704</v>
      </c>
    </row>
    <row r="7" spans="1:32">
      <c r="A7" s="144" t="s">
        <v>279</v>
      </c>
      <c r="B7" s="144" t="s">
        <v>104</v>
      </c>
      <c r="C7" s="145" t="s">
        <v>118</v>
      </c>
      <c r="D7" s="145">
        <f>INDEX('San Collection - Oversize'!$L$12:$AM$33, MATCH($B$7,'San Collection - Oversize'!$A$12:$A$33,0),MATCH(D3,'San Collection - Oversize'!$L$10:$AM$10,0))</f>
        <v>284870</v>
      </c>
      <c r="E7" s="145">
        <f>INDEX('San Collection - Oversize'!$L$12:$AM$33, MATCH($B$7,'San Collection - Oversize'!$A$12:$A$33,0),MATCH(E3,'San Collection - Oversize'!$L$10:$AM$10,0))</f>
        <v>291991.75</v>
      </c>
      <c r="F7" s="145" t="str">
        <f>INDEX('San Collection - Oversize'!$L$12:$AM$33, MATCH($B$7,'San Collection - Oversize'!$A$12:$A$33,0),MATCH(F3,'San Collection - Oversize'!$L$10:$AM$10,0))</f>
        <v/>
      </c>
      <c r="G7" s="145" t="str">
        <f>INDEX('San Collection - Oversize'!$L$12:$AM$33, MATCH($B$7,'San Collection - Oversize'!$A$12:$A$33,0),MATCH(G3,'San Collection - Oversize'!$L$10:$AM$10,0))</f>
        <v/>
      </c>
      <c r="H7" s="145" t="str">
        <f>INDEX('San Collection - Oversize'!$L$12:$AM$33, MATCH($B$7,'San Collection - Oversize'!$A$12:$A$33,0),MATCH(H3,'San Collection - Oversize'!$L$10:$AM$10,0))</f>
        <v/>
      </c>
      <c r="I7" s="145" t="str">
        <f>INDEX('San Collection - Oversize'!$L$12:$AM$33, MATCH($B$7,'San Collection - Oversize'!$A$12:$A$33,0),MATCH(I3,'San Collection - Oversize'!$L$10:$AM$10,0))</f>
        <v/>
      </c>
      <c r="J7" s="145" t="str">
        <f>INDEX('San Collection - Oversize'!$L$12:$AM$33, MATCH($B$7,'San Collection - Oversize'!$A$12:$A$33,0),MATCH(J3,'San Collection - Oversize'!$L$10:$AM$10,0))</f>
        <v/>
      </c>
      <c r="K7" s="145" t="str">
        <f>INDEX('San Collection - Oversize'!$L$12:$AM$33, MATCH($B$7,'San Collection - Oversize'!$A$12:$A$33,0),MATCH(K3,'San Collection - Oversize'!$L$10:$AM$10,0))</f>
        <v/>
      </c>
      <c r="L7" s="145" t="str">
        <f>INDEX('San Collection - Oversize'!$L$12:$AM$33, MATCH($B$7,'San Collection - Oversize'!$A$12:$A$33,0),MATCH(L3,'San Collection - Oversize'!$L$10:$AM$10,0))</f>
        <v/>
      </c>
      <c r="M7" s="145" t="str">
        <f>INDEX('San Collection - Oversize'!$L$12:$AM$33, MATCH($B$7,'San Collection - Oversize'!$A$12:$A$33,0),MATCH(M3,'San Collection - Oversize'!$L$10:$AM$10,0))</f>
        <v/>
      </c>
      <c r="N7" s="145" t="str">
        <f>INDEX('San Collection - Oversize'!$L$12:$AM$33, MATCH($B$7,'San Collection - Oversize'!$A$12:$A$33,0),MATCH(N3,'San Collection - Oversize'!$L$10:$AM$10,0))</f>
        <v/>
      </c>
      <c r="O7" s="145" t="str">
        <f>INDEX('San Collection - Oversize'!$L$12:$AM$33, MATCH($B$7,'San Collection - Oversize'!$A$12:$A$33,0),MATCH(O3,'San Collection - Oversize'!$L$10:$AM$10,0))</f>
        <v/>
      </c>
      <c r="P7" s="145" t="str">
        <f>INDEX('San Collection - Oversize'!$L$12:$AM$33, MATCH($B$7,'San Collection - Oversize'!$A$12:$A$33,0),MATCH(P3,'San Collection - Oversize'!$L$10:$AM$10,0))</f>
        <v/>
      </c>
      <c r="Q7" s="145" t="str">
        <f>INDEX('San Collection - Oversize'!$L$12:$AM$33, MATCH($B$7,'San Collection - Oversize'!$A$12:$A$33,0),MATCH(Q3,'San Collection - Oversize'!$L$10:$AM$10,0))</f>
        <v/>
      </c>
      <c r="R7" s="145" t="str">
        <f>INDEX('San Collection - Oversize'!$L$12:$AM$33, MATCH($B$7,'San Collection - Oversize'!$A$12:$A$33,0),MATCH(R3,'San Collection - Oversize'!$L$10:$AM$10,0))</f>
        <v/>
      </c>
      <c r="S7" s="145" t="str">
        <f>INDEX('San Collection - Oversize'!$L$12:$AM$33, MATCH($B$7,'San Collection - Oversize'!$A$12:$A$33,0),MATCH(S3,'San Collection - Oversize'!$L$10:$AM$10,0))</f>
        <v/>
      </c>
      <c r="T7" s="145" t="str">
        <f>INDEX('San Collection - Oversize'!$L$12:$AM$33, MATCH($B$7,'San Collection - Oversize'!$A$12:$A$33,0),MATCH(T3,'San Collection - Oversize'!$L$10:$AM$10,0))</f>
        <v/>
      </c>
      <c r="U7" s="145" t="str">
        <f>INDEX('San Collection - Oversize'!$L$12:$AM$33, MATCH($B$7,'San Collection - Oversize'!$A$12:$A$33,0),MATCH(U3,'San Collection - Oversize'!$L$10:$AM$10,0))</f>
        <v/>
      </c>
      <c r="V7" s="145" t="str">
        <f>INDEX('San Collection - Oversize'!$L$12:$AM$33, MATCH($B$7,'San Collection - Oversize'!$A$12:$A$33,0),MATCH(V3,'San Collection - Oversize'!$L$10:$AM$10,0))</f>
        <v/>
      </c>
      <c r="W7" s="145" t="str">
        <f>INDEX('San Collection - Oversize'!$L$12:$AM$33, MATCH($B$7,'San Collection - Oversize'!$A$12:$A$33,0),MATCH(W3,'San Collection - Oversize'!$L$10:$AM$10,0))</f>
        <v/>
      </c>
      <c r="X7" s="145" t="str">
        <f>INDEX('San Collection - Oversize'!$L$12:$AM$33, MATCH($B$7,'San Collection - Oversize'!$A$12:$A$33,0),MATCH(X3,'San Collection - Oversize'!$L$10:$AM$10,0))</f>
        <v/>
      </c>
      <c r="Y7" s="145" t="str">
        <f>INDEX('San Collection - Oversize'!$L$12:$AM$33, MATCH($B$7,'San Collection - Oversize'!$A$12:$A$33,0),MATCH(Y3,'San Collection - Oversize'!$L$10:$AM$10,0))</f>
        <v/>
      </c>
      <c r="Z7" s="145" t="str">
        <f>INDEX('San Collection - Oversize'!$L$12:$AM$33, MATCH($B$7,'San Collection - Oversize'!$A$12:$A$33,0),MATCH(Z3,'San Collection - Oversize'!$L$10:$AM$10,0))</f>
        <v/>
      </c>
      <c r="AA7" s="145" t="str">
        <f>INDEX('San Collection - Oversize'!$L$12:$AM$33, MATCH($B$7,'San Collection - Oversize'!$A$12:$A$33,0),MATCH(AA3,'San Collection - Oversize'!$L$10:$AM$10,0))</f>
        <v/>
      </c>
      <c r="AB7" s="145" t="str">
        <f>INDEX('San Collection - Oversize'!$L$12:$AM$33, MATCH($B$7,'San Collection - Oversize'!$A$12:$A$33,0),MATCH(AB3,'San Collection - Oversize'!$L$10:$AM$10,0))</f>
        <v/>
      </c>
      <c r="AC7" s="145" t="str">
        <f>INDEX('San Collection - Oversize'!$L$12:$AM$33, MATCH($B$7,'San Collection - Oversize'!$A$12:$A$33,0),MATCH(AC3,'San Collection - Oversize'!$L$10:$AM$10,0))</f>
        <v/>
      </c>
      <c r="AD7" s="145" t="str">
        <f>INDEX('San Collection - Oversize'!$L$12:$AM$33, MATCH($B$7,'San Collection - Oversize'!$A$12:$A$33,0),MATCH(AD3,'San Collection - Oversize'!$L$10:$AM$10,0))</f>
        <v/>
      </c>
      <c r="AE7" s="145" t="str">
        <f>INDEX('San Collection - Oversize'!$L$12:$AM$33, MATCH($B$7,'San Collection - Oversize'!$A$12:$A$33,0),MATCH(AE3,'San Collection - Oversize'!$L$10:$AM$10,0))</f>
        <v/>
      </c>
    </row>
    <row r="8" spans="1:32">
      <c r="A8" s="631"/>
      <c r="B8" s="141"/>
      <c r="C8" s="125"/>
      <c r="D8" s="125" cm="1">
        <f t="array" ref="D8">_xlfn.LET(_xlpm.x, E5-SUM($D$7:E7),IF(OR(_xlpm.x&lt;0, INDEX(D:D,ROW()-1)&lt;0), _xlpm.x, 0))</f>
        <v>-348410.89143156656</v>
      </c>
      <c r="E8" s="125" cm="1">
        <f t="array" ref="E8">_xlfn.LET(_xlpm.x, F5-SUM($D$7:F7),IF(OR(_xlpm.x&lt;0, INDEX(E:E,ROW()-1)&lt;0), _xlpm.x, 0))</f>
        <v>-59766.687351801957</v>
      </c>
      <c r="F8" s="345" cm="1">
        <f t="array" ref="F8">_xlfn.LET(_xlpm.x, G5-SUM($D$7:G7),IF(OR(_xlpm.x&lt;0, INDEX(F:F,ROW()-1)&lt;0), _xlpm.x, 0))</f>
        <v>0</v>
      </c>
      <c r="G8" s="125" cm="1">
        <f t="array" ref="G8">_xlfn.LET(_xlpm.x, H5-SUM($D$7:H7),IF(OR(_xlpm.x&lt;0, INDEX(G:G,ROW()-1)&lt;0), _xlpm.x, 0))</f>
        <v>0</v>
      </c>
      <c r="H8" s="125" cm="1">
        <f t="array" ref="H8">_xlfn.LET(_xlpm.x, I5-SUM($D$7:I7),IF(OR(_xlpm.x&lt;0, INDEX(H:H,ROW()-1)&lt;0), _xlpm.x, 0))</f>
        <v>0</v>
      </c>
      <c r="I8" s="125" cm="1">
        <f t="array" ref="I8">_xlfn.LET(_xlpm.x, J5-SUM($D$7:J7),IF(OR(_xlpm.x&lt;0, INDEX(I:I,ROW()-1)&lt;0), _xlpm.x, 0))</f>
        <v>0</v>
      </c>
      <c r="J8" s="125" cm="1">
        <f t="array" ref="J8">_xlfn.LET(_xlpm.x, K5-SUM($D$7:K7),IF(OR(_xlpm.x&lt;0, INDEX(J:J,ROW()-1)&lt;0), _xlpm.x, 0))</f>
        <v>0</v>
      </c>
      <c r="K8" s="125" cm="1">
        <f t="array" ref="K8">_xlfn.LET(_xlpm.x, L5-SUM($D$7:L7),IF(OR(_xlpm.x&lt;0, INDEX(K:K,ROW()-1)&lt;0), _xlpm.x, 0))</f>
        <v>0</v>
      </c>
      <c r="L8" s="125" cm="1">
        <f t="array" ref="L8">_xlfn.LET(_xlpm.x, M5-SUM($D$7:M7),IF(OR(_xlpm.x&lt;0, INDEX(L:L,ROW()-1)&lt;0), _xlpm.x, 0))</f>
        <v>0</v>
      </c>
      <c r="M8" s="125"/>
      <c r="N8" s="125"/>
      <c r="O8" s="125"/>
      <c r="P8" s="125"/>
      <c r="Q8" s="125"/>
      <c r="R8" s="125"/>
      <c r="S8" s="125"/>
      <c r="T8" s="125"/>
      <c r="U8" s="125"/>
      <c r="V8" s="125"/>
      <c r="W8" s="125"/>
      <c r="X8" s="125"/>
      <c r="Y8" s="125"/>
      <c r="Z8" s="125"/>
      <c r="AA8" s="125"/>
      <c r="AB8" s="125"/>
      <c r="AC8" s="125"/>
      <c r="AD8" s="125"/>
      <c r="AE8" s="125"/>
    </row>
    <row r="9" spans="1:32">
      <c r="A9" s="144" t="s">
        <v>279</v>
      </c>
      <c r="B9" s="144">
        <v>48</v>
      </c>
      <c r="C9" s="145" t="s">
        <v>118</v>
      </c>
      <c r="D9" s="145" t="str">
        <f>INDEX('San Collection - Oversize'!$L$12:$AM$33, MATCH($B$9,'San Collection - Oversize'!$A$12:$A$33,0),MATCH(D3,'San Collection - Oversize'!$L$10:$AM$10,0))</f>
        <v/>
      </c>
      <c r="E9" s="145">
        <f>INDEX('San Collection - Oversize'!$L$12:$AM$33, MATCH($B$9,'San Collection - Oversize'!$A$12:$A$33,0),MATCH(E3,'San Collection - Oversize'!$L$10:$AM$10,0))</f>
        <v>99721.224999999991</v>
      </c>
      <c r="F9" s="145">
        <f>INDEX('San Collection - Oversize'!$L$12:$AM$33, MATCH($B$9,'San Collection - Oversize'!$A$12:$A$33,0),MATCH(F3,'San Collection - Oversize'!$L$10:$AM$10,0))</f>
        <v>102214.25562499999</v>
      </c>
      <c r="G9" s="145" t="str">
        <f>INDEX('San Collection - Oversize'!$L$12:$AM$33, MATCH($B$9,'San Collection - Oversize'!$A$12:$A$33,0),MATCH(G3,'San Collection - Oversize'!$L$10:$AM$10,0))</f>
        <v/>
      </c>
      <c r="H9" s="145" t="str">
        <f>INDEX('San Collection - Oversize'!$L$12:$AM$33, MATCH($B$9,'San Collection - Oversize'!$A$12:$A$33,0),MATCH(H3,'San Collection - Oversize'!$L$10:$AM$10,0))</f>
        <v/>
      </c>
      <c r="I9" s="145" t="str">
        <f>INDEX('San Collection - Oversize'!$L$12:$AM$33, MATCH($B$9,'San Collection - Oversize'!$A$12:$A$33,0),MATCH(I3,'San Collection - Oversize'!$L$10:$AM$10,0))</f>
        <v/>
      </c>
      <c r="J9" s="145" t="str">
        <f>INDEX('San Collection - Oversize'!$L$12:$AM$33, MATCH($B$9,'San Collection - Oversize'!$A$12:$A$33,0),MATCH(J3,'San Collection - Oversize'!$L$10:$AM$10,0))</f>
        <v/>
      </c>
      <c r="K9" s="145" t="str">
        <f>INDEX('San Collection - Oversize'!$L$12:$AM$33, MATCH($B$9,'San Collection - Oversize'!$A$12:$A$33,0),MATCH(K3,'San Collection - Oversize'!$L$10:$AM$10,0))</f>
        <v/>
      </c>
      <c r="L9" s="145" t="str">
        <f>INDEX('San Collection - Oversize'!$L$12:$AM$33, MATCH($B$9,'San Collection - Oversize'!$A$12:$A$33,0),MATCH(L3,'San Collection - Oversize'!$L$10:$AM$10,0))</f>
        <v/>
      </c>
      <c r="M9" s="145" t="str">
        <f>INDEX('San Collection - Oversize'!$L$12:$AM$33, MATCH($B$9,'San Collection - Oversize'!$A$12:$A$33,0),MATCH(M3,'San Collection - Oversize'!$L$10:$AM$10,0))</f>
        <v/>
      </c>
      <c r="N9" s="145" t="str">
        <f>INDEX('San Collection - Oversize'!$L$12:$AM$33, MATCH($B$9,'San Collection - Oversize'!$A$12:$A$33,0),MATCH(N3,'San Collection - Oversize'!$L$10:$AM$10,0))</f>
        <v/>
      </c>
      <c r="O9" s="145" t="str">
        <f>INDEX('San Collection - Oversize'!$L$12:$AM$33, MATCH($B$9,'San Collection - Oversize'!$A$12:$A$33,0),MATCH(O3,'San Collection - Oversize'!$L$10:$AM$10,0))</f>
        <v/>
      </c>
      <c r="P9" s="145" t="str">
        <f>INDEX('San Collection - Oversize'!$L$12:$AM$33, MATCH($B$9,'San Collection - Oversize'!$A$12:$A$33,0),MATCH(P3,'San Collection - Oversize'!$L$10:$AM$10,0))</f>
        <v/>
      </c>
      <c r="Q9" s="145" t="str">
        <f>INDEX('San Collection - Oversize'!$L$12:$AM$33, MATCH($B$9,'San Collection - Oversize'!$A$12:$A$33,0),MATCH(Q3,'San Collection - Oversize'!$L$10:$AM$10,0))</f>
        <v/>
      </c>
      <c r="R9" s="145" t="str">
        <f>INDEX('San Collection - Oversize'!$L$12:$AM$33, MATCH($B$9,'San Collection - Oversize'!$A$12:$A$33,0),MATCH(R3,'San Collection - Oversize'!$L$10:$AM$10,0))</f>
        <v/>
      </c>
      <c r="S9" s="145" t="str">
        <f>INDEX('San Collection - Oversize'!$L$12:$AM$33, MATCH($B$9,'San Collection - Oversize'!$A$12:$A$33,0),MATCH(S3,'San Collection - Oversize'!$L$10:$AM$10,0))</f>
        <v/>
      </c>
      <c r="T9" s="145" t="str">
        <f>INDEX('San Collection - Oversize'!$L$12:$AM$33, MATCH($B$9,'San Collection - Oversize'!$A$12:$A$33,0),MATCH(T3,'San Collection - Oversize'!$L$10:$AM$10,0))</f>
        <v/>
      </c>
      <c r="U9" s="145" t="str">
        <f>INDEX('San Collection - Oversize'!$L$12:$AM$33, MATCH($B$9,'San Collection - Oversize'!$A$12:$A$33,0),MATCH(U3,'San Collection - Oversize'!$L$10:$AM$10,0))</f>
        <v/>
      </c>
      <c r="V9" s="145" t="str">
        <f>INDEX('San Collection - Oversize'!$L$12:$AM$33, MATCH($B$9,'San Collection - Oversize'!$A$12:$A$33,0),MATCH(V3,'San Collection - Oversize'!$L$10:$AM$10,0))</f>
        <v/>
      </c>
      <c r="W9" s="145" t="str">
        <f>INDEX('San Collection - Oversize'!$L$12:$AM$33, MATCH($B$9,'San Collection - Oversize'!$A$12:$A$33,0),MATCH(W3,'San Collection - Oversize'!$L$10:$AM$10,0))</f>
        <v/>
      </c>
      <c r="X9" s="145" t="str">
        <f>INDEX('San Collection - Oversize'!$L$12:$AM$33, MATCH($B$9,'San Collection - Oversize'!$A$12:$A$33,0),MATCH(X3,'San Collection - Oversize'!$L$10:$AM$10,0))</f>
        <v/>
      </c>
      <c r="Y9" s="145" t="str">
        <f>INDEX('San Collection - Oversize'!$L$12:$AM$33, MATCH($B$9,'San Collection - Oversize'!$A$12:$A$33,0),MATCH(Y3,'San Collection - Oversize'!$L$10:$AM$10,0))</f>
        <v/>
      </c>
      <c r="Z9" s="145" t="str">
        <f>INDEX('San Collection - Oversize'!$L$12:$AM$33, MATCH($B$9,'San Collection - Oversize'!$A$12:$A$33,0),MATCH(Z3,'San Collection - Oversize'!$L$10:$AM$10,0))</f>
        <v/>
      </c>
      <c r="AA9" s="145" t="str">
        <f>INDEX('San Collection - Oversize'!$L$12:$AM$33, MATCH($B$9,'San Collection - Oversize'!$A$12:$A$33,0),MATCH(AA3,'San Collection - Oversize'!$L$10:$AM$10,0))</f>
        <v/>
      </c>
      <c r="AB9" s="145" t="str">
        <f>INDEX('San Collection - Oversize'!$L$12:$AM$33, MATCH($B$9,'San Collection - Oversize'!$A$12:$A$33,0),MATCH(AB3,'San Collection - Oversize'!$L$10:$AM$10,0))</f>
        <v/>
      </c>
      <c r="AC9" s="145" t="str">
        <f>INDEX('San Collection - Oversize'!$L$12:$AM$33, MATCH($B$9,'San Collection - Oversize'!$A$12:$A$33,0),MATCH(AC3,'San Collection - Oversize'!$L$10:$AM$10,0))</f>
        <v/>
      </c>
      <c r="AD9" s="145" t="str">
        <f>INDEX('San Collection - Oversize'!$L$12:$AM$33, MATCH($B$9,'San Collection - Oversize'!$A$12:$A$33,0),MATCH(AD3,'San Collection - Oversize'!$L$10:$AM$10,0))</f>
        <v/>
      </c>
      <c r="AE9" s="145" t="str">
        <f>INDEX('San Collection - Oversize'!$L$12:$AM$33, MATCH($B$9,'San Collection - Oversize'!$A$12:$A$33,0),MATCH(AE3,'San Collection - Oversize'!$L$10:$AM$10,0))</f>
        <v/>
      </c>
      <c r="AF9" s="690">
        <f>SUM(C9:AC9)</f>
        <v>201935.48062499997</v>
      </c>
    </row>
    <row r="10" spans="1:32">
      <c r="A10" s="631"/>
      <c r="B10" s="141"/>
      <c r="C10" s="125"/>
      <c r="D10" s="125"/>
      <c r="E10" s="125" cm="1">
        <f t="array" ref="E10">_xlfn.LET(_xlpm.x, F5-SUM($D$7:F7)-SUM($D$9:F9),IF(OR(_xlpm.x&lt;0, INDEX(E:E,ROW()-1)&lt;0), _xlpm.x, 0))</f>
        <v>-261702.16797680192</v>
      </c>
      <c r="F10" s="345" cm="1">
        <f t="array" ref="F10">_xlfn.LET(_xlpm.x, G5-SUM($D$7:G7)-SUM($D$9:G9),IF(OR(_xlpm.x&lt;0, INDEX(F:F,ROW()-1)&lt;0), _xlpm.x, 0))</f>
        <v>0</v>
      </c>
      <c r="G10" s="125" cm="1">
        <f t="array" ref="G10">_xlfn.LET(_xlpm.x, H5-SUM($D$7:H7)-SUM($D$9:H9),IF(OR(_xlpm.x&lt;0, INDEX(G:G,ROW()-1)&lt;0), _xlpm.x, 0))</f>
        <v>0</v>
      </c>
      <c r="H10" s="125" cm="1">
        <f t="array" ref="H10">_xlfn.LET(_xlpm.x, I5-SUM($D$7:I7)-SUM($D$9:I9),IF(OR(_xlpm.x&lt;0, INDEX(H:H,ROW()-1)&lt;0), _xlpm.x, 0))</f>
        <v>0</v>
      </c>
      <c r="I10" s="125" cm="1">
        <f t="array" ref="I10">_xlfn.LET(_xlpm.x, J5-SUM($D$7:J7)-SUM($D$9:J9),IF(OR(_xlpm.x&lt;0, INDEX(I:I,ROW()-1)&lt;0), _xlpm.x, 0))</f>
        <v>0</v>
      </c>
      <c r="J10" s="125" cm="1">
        <f t="array" ref="J10">_xlfn.LET(_xlpm.x, K5-SUM($D$7:K7)-SUM($D$9:K9),IF(OR(_xlpm.x&lt;0, INDEX(J:J,ROW()-1)&lt;0), _xlpm.x, 0))</f>
        <v>0</v>
      </c>
      <c r="K10" s="125" cm="1">
        <f t="array" ref="K10">_xlfn.LET(_xlpm.x, L5-SUM($D$7:L7)-SUM($D$9:L9),IF(OR(_xlpm.x&lt;0, INDEX(K:K,ROW()-1)&lt;0), _xlpm.x, 0))</f>
        <v>0</v>
      </c>
      <c r="L10" s="125" cm="1">
        <f t="array" ref="L10">_xlfn.LET(_xlpm.x, M5-SUM($D$7:M7)-SUM($D$9:M9),IF(OR(_xlpm.x&lt;0, INDEX(L:L,ROW()-1)&lt;0), _xlpm.x, 0))</f>
        <v>0</v>
      </c>
      <c r="M10" s="125" cm="1">
        <f t="array" ref="M10">_xlfn.LET(_xlpm.x, N5-SUM($D$7:N7)-SUM($D$9:N9),IF(OR(_xlpm.x&lt;0, INDEX(M:M,ROW()-1)&lt;0), _xlpm.x, 0))</f>
        <v>0</v>
      </c>
      <c r="N10" s="125"/>
      <c r="O10" s="125"/>
      <c r="P10" s="125"/>
      <c r="Q10" s="125"/>
      <c r="R10" s="125"/>
      <c r="S10" s="125"/>
      <c r="T10" s="125"/>
      <c r="U10" s="125"/>
      <c r="V10" s="125"/>
      <c r="W10" s="125"/>
      <c r="X10" s="125"/>
      <c r="Y10" s="125"/>
      <c r="Z10" s="125"/>
      <c r="AA10" s="125"/>
      <c r="AB10" s="125"/>
      <c r="AC10" s="125"/>
      <c r="AD10" s="125"/>
      <c r="AE10" s="125"/>
    </row>
    <row r="11" spans="1:32">
      <c r="A11" s="144" t="s">
        <v>279</v>
      </c>
      <c r="B11" s="144" t="s">
        <v>59</v>
      </c>
      <c r="C11" s="145" t="s">
        <v>118</v>
      </c>
      <c r="D11" s="145" t="str">
        <f>INDEX('San Collection - Oversize'!$L$12:$AM$33, MATCH($B$11,'San Collection - Oversize'!$A$12:$A$33,0),MATCH(D3,'San Collection - Oversize'!$L$10:$AM$10,0))</f>
        <v/>
      </c>
      <c r="E11" s="145" t="str">
        <f>INDEX('San Collection - Oversize'!$L$12:$AM$33, MATCH($B$11,'San Collection - Oversize'!$A$12:$A$33,0),MATCH(E3,'San Collection - Oversize'!$L$10:$AM$10,0))</f>
        <v/>
      </c>
      <c r="F11" s="145">
        <f>INDEX('San Collection - Oversize'!$L$12:$AM$33, MATCH($B$11,'San Collection - Oversize'!$A$12:$A$33,0),MATCH(F3,'San Collection - Oversize'!$L$10:$AM$10,0))</f>
        <v>44430.4059375</v>
      </c>
      <c r="G11" s="145">
        <f>INDEX('San Collection - Oversize'!$L$12:$AM$33, MATCH($B$11,'San Collection - Oversize'!$A$12:$A$33,0),MATCH(G3,'San Collection - Oversize'!$L$10:$AM$10,0))</f>
        <v>45541.166085937497</v>
      </c>
      <c r="H11" s="145" t="str">
        <f>INDEX('San Collection - Oversize'!$L$12:$AM$33, MATCH($B$11,'San Collection - Oversize'!$A$12:$A$33,0),MATCH(H3,'San Collection - Oversize'!$L$10:$AM$10,0))</f>
        <v/>
      </c>
      <c r="I11" s="145" t="str">
        <f>INDEX('San Collection - Oversize'!$L$12:$AM$33, MATCH($B$11,'San Collection - Oversize'!$A$12:$A$33,0),MATCH(I3,'San Collection - Oversize'!$L$10:$AM$10,0))</f>
        <v/>
      </c>
      <c r="J11" s="145" t="str">
        <f>INDEX('San Collection - Oversize'!$L$12:$AM$33, MATCH($B$11,'San Collection - Oversize'!$A$12:$A$33,0),MATCH(J3,'San Collection - Oversize'!$L$10:$AM$10,0))</f>
        <v/>
      </c>
      <c r="K11" s="145" t="str">
        <f>INDEX('San Collection - Oversize'!$L$12:$AM$33, MATCH($B$11,'San Collection - Oversize'!$A$12:$A$33,0),MATCH(K3,'San Collection - Oversize'!$L$10:$AM$10,0))</f>
        <v/>
      </c>
      <c r="L11" s="145" t="str">
        <f>INDEX('San Collection - Oversize'!$L$12:$AM$33, MATCH($B$11,'San Collection - Oversize'!$A$12:$A$33,0),MATCH(L3,'San Collection - Oversize'!$L$10:$AM$10,0))</f>
        <v/>
      </c>
      <c r="M11" s="145" t="str">
        <f>INDEX('San Collection - Oversize'!$L$12:$AM$33, MATCH($B$11,'San Collection - Oversize'!$A$12:$A$33,0),MATCH(M3,'San Collection - Oversize'!$L$10:$AM$10,0))</f>
        <v/>
      </c>
      <c r="N11" s="145" t="str">
        <f>INDEX('San Collection - Oversize'!$L$12:$AM$33, MATCH($B$11,'San Collection - Oversize'!$A$12:$A$33,0),MATCH(N3,'San Collection - Oversize'!$L$10:$AM$10,0))</f>
        <v/>
      </c>
      <c r="O11" s="145" t="str">
        <f>INDEX('San Collection - Oversize'!$L$12:$AM$33, MATCH($B$11,'San Collection - Oversize'!$A$12:$A$33,0),MATCH(O3,'San Collection - Oversize'!$L$10:$AM$10,0))</f>
        <v/>
      </c>
      <c r="P11" s="145" t="str">
        <f>INDEX('San Collection - Oversize'!$L$12:$AM$33, MATCH($B$11,'San Collection - Oversize'!$A$12:$A$33,0),MATCH(P3,'San Collection - Oversize'!$L$10:$AM$10,0))</f>
        <v/>
      </c>
      <c r="Q11" s="145" t="str">
        <f>INDEX('San Collection - Oversize'!$L$12:$AM$33, MATCH($B$11,'San Collection - Oversize'!$A$12:$A$33,0),MATCH(Q3,'San Collection - Oversize'!$L$10:$AM$10,0))</f>
        <v/>
      </c>
      <c r="R11" s="145" t="str">
        <f>INDEX('San Collection - Oversize'!$L$12:$AM$33, MATCH($B$11,'San Collection - Oversize'!$A$12:$A$33,0),MATCH(R3,'San Collection - Oversize'!$L$10:$AM$10,0))</f>
        <v/>
      </c>
      <c r="S11" s="145" t="str">
        <f>INDEX('San Collection - Oversize'!$L$12:$AM$33, MATCH($B$11,'San Collection - Oversize'!$A$12:$A$33,0),MATCH(S3,'San Collection - Oversize'!$L$10:$AM$10,0))</f>
        <v/>
      </c>
      <c r="T11" s="145" t="str">
        <f>INDEX('San Collection - Oversize'!$L$12:$AM$33, MATCH($B$11,'San Collection - Oversize'!$A$12:$A$33,0),MATCH(T3,'San Collection - Oversize'!$L$10:$AM$10,0))</f>
        <v/>
      </c>
      <c r="U11" s="145" t="str">
        <f>INDEX('San Collection - Oversize'!$L$12:$AM$33, MATCH($B$11,'San Collection - Oversize'!$A$12:$A$33,0),MATCH(U3,'San Collection - Oversize'!$L$10:$AM$10,0))</f>
        <v/>
      </c>
      <c r="V11" s="145" t="str">
        <f>INDEX('San Collection - Oversize'!$L$12:$AM$33, MATCH($B$11,'San Collection - Oversize'!$A$12:$A$33,0),MATCH(V3,'San Collection - Oversize'!$L$10:$AM$10,0))</f>
        <v/>
      </c>
      <c r="W11" s="145" t="str">
        <f>INDEX('San Collection - Oversize'!$L$12:$AM$33, MATCH($B$11,'San Collection - Oversize'!$A$12:$A$33,0),MATCH(W3,'San Collection - Oversize'!$L$10:$AM$10,0))</f>
        <v/>
      </c>
      <c r="X11" s="145" t="str">
        <f>INDEX('San Collection - Oversize'!$L$12:$AM$33, MATCH($B$11,'San Collection - Oversize'!$A$12:$A$33,0),MATCH(X3,'San Collection - Oversize'!$L$10:$AM$10,0))</f>
        <v/>
      </c>
      <c r="Y11" s="145" t="str">
        <f>INDEX('San Collection - Oversize'!$L$12:$AM$33, MATCH($B$11,'San Collection - Oversize'!$A$12:$A$33,0),MATCH(Y3,'San Collection - Oversize'!$L$10:$AM$10,0))</f>
        <v/>
      </c>
      <c r="Z11" s="145" t="str">
        <f>INDEX('San Collection - Oversize'!$L$12:$AM$33, MATCH($B$11,'San Collection - Oversize'!$A$12:$A$33,0),MATCH(Z3,'San Collection - Oversize'!$L$10:$AM$10,0))</f>
        <v/>
      </c>
      <c r="AA11" s="145" t="str">
        <f>INDEX('San Collection - Oversize'!$L$12:$AM$33, MATCH($B$11,'San Collection - Oversize'!$A$12:$A$33,0),MATCH(AA3,'San Collection - Oversize'!$L$10:$AM$10,0))</f>
        <v/>
      </c>
      <c r="AB11" s="145" t="str">
        <f>INDEX('San Collection - Oversize'!$L$12:$AM$33, MATCH($B$11,'San Collection - Oversize'!$A$12:$A$33,0),MATCH(AB3,'San Collection - Oversize'!$L$10:$AM$10,0))</f>
        <v/>
      </c>
      <c r="AC11" s="145" t="str">
        <f>INDEX('San Collection - Oversize'!$L$12:$AM$33, MATCH($B$11,'San Collection - Oversize'!$A$12:$A$33,0),MATCH(AC3,'San Collection - Oversize'!$L$10:$AM$10,0))</f>
        <v/>
      </c>
      <c r="AD11" s="145" t="str">
        <f>INDEX('San Collection - Oversize'!$L$12:$AM$33, MATCH($B$11,'San Collection - Oversize'!$A$12:$A$33,0),MATCH(AD3,'San Collection - Oversize'!$L$10:$AM$10,0))</f>
        <v/>
      </c>
      <c r="AE11" s="145" t="str">
        <f>INDEX('San Collection - Oversize'!$L$12:$AM$33, MATCH($B$11,'San Collection - Oversize'!$A$12:$A$33,0),MATCH(AE3,'San Collection - Oversize'!$L$10:$AM$10,0))</f>
        <v/>
      </c>
      <c r="AF11" s="690">
        <f>SUM(C11:AC11)</f>
        <v>89971.572023437504</v>
      </c>
    </row>
    <row r="12" spans="1:32">
      <c r="A12" s="631"/>
      <c r="B12" s="141"/>
      <c r="C12" s="125"/>
      <c r="D12" s="125"/>
      <c r="E12" s="125"/>
      <c r="F12" s="125" cm="1">
        <f t="array" ref="F12">_xlfn.LET(_xlpm.x, F5-SUM($D$7:F7)-SUM($D$9:F9)-SUM($D$11:F11),IF(OR(_xlpm.x&lt;0, INDEX(E:E,ROW()-1)&lt;0), _xlpm.x, 0))</f>
        <v>-306132.57391430193</v>
      </c>
      <c r="G12" s="125" cm="1">
        <f t="array" ref="G12">_xlfn.LET(_xlpm.x, G5-SUM($D$7:G7)-SUM($D$9:G9)-SUM($D$11:G11),IF(OR(_xlpm.x&lt;0, INDEX(F:F,ROW()-1)&lt;0), _xlpm.x, 0))</f>
        <v>-9766.8968789889768</v>
      </c>
      <c r="H12" s="345" cm="1">
        <f t="array" ref="H12">_xlfn.LET(_xlpm.x, H5-SUM($D$7:H7)-SUM($D$9:H9)-SUM($D$11:H11),IF(OR(_xlpm.x&lt;0, INDEX(G:G,ROW()-1)&lt;0), _xlpm.x, 0))</f>
        <v>0</v>
      </c>
      <c r="I12" s="125" cm="1">
        <f t="array" ref="I12">_xlfn.LET(_xlpm.x, I5-SUM($D$7:I7)-SUM($D$9:I9)-SUM($D$11:I11),IF(OR(_xlpm.x&lt;0, INDEX(H:H,ROW()-1)&lt;0), _xlpm.x, 0))</f>
        <v>0</v>
      </c>
      <c r="J12" s="125" cm="1">
        <f t="array" ref="J12">_xlfn.LET(_xlpm.x, J5-SUM($D$7:J7)-SUM($D$9:J9)-SUM($D$11:J11),IF(OR(_xlpm.x&lt;0, INDEX(I:I,ROW()-1)&lt;0), _xlpm.x, 0))</f>
        <v>0</v>
      </c>
      <c r="K12" s="125" cm="1">
        <f t="array" ref="K12">_xlfn.LET(_xlpm.x, K5-SUM($D$7:K7)-SUM($D$9:K9)-SUM($D$11:K11),IF(OR(_xlpm.x&lt;0, INDEX(J:J,ROW()-1)&lt;0), _xlpm.x, 0))</f>
        <v>0</v>
      </c>
      <c r="L12" s="125" cm="1">
        <f t="array" ref="L12">_xlfn.LET(_xlpm.x, L5-SUM($D$7:L7)-SUM($D$9:L9)-SUM($D$11:L11),IF(OR(_xlpm.x&lt;0, INDEX(K:K,ROW()-1)&lt;0), _xlpm.x, 0))</f>
        <v>0</v>
      </c>
      <c r="M12" s="125" cm="1">
        <f t="array" ref="M12">_xlfn.LET(_xlpm.x, M5-SUM($D$7:M7)-SUM($D$9:M9)-SUM($D$11:M11),IF(OR(_xlpm.x&lt;0, INDEX(L:L,ROW()-1)&lt;0), _xlpm.x, 0))</f>
        <v>0</v>
      </c>
      <c r="N12" s="125" cm="1">
        <f t="array" ref="N12">_xlfn.LET(_xlpm.x, N5-SUM($D$7:N7)-SUM($D$9:N9)-SUM($D$11:N11),IF(OR(_xlpm.x&lt;0, INDEX(M:M,ROW()-1)&lt;0), _xlpm.x, 0))</f>
        <v>0</v>
      </c>
      <c r="O12" s="125"/>
      <c r="P12" s="125"/>
      <c r="Q12" s="125"/>
      <c r="R12" s="125"/>
      <c r="S12" s="125"/>
      <c r="T12" s="125"/>
      <c r="U12" s="125"/>
      <c r="V12" s="125"/>
      <c r="W12" s="125"/>
      <c r="X12" s="125"/>
      <c r="Y12" s="125"/>
      <c r="Z12" s="125"/>
      <c r="AA12" s="125"/>
      <c r="AB12" s="125"/>
      <c r="AC12" s="125"/>
      <c r="AD12" s="125"/>
      <c r="AE12" s="125"/>
    </row>
    <row r="13" spans="1:32">
      <c r="A13" s="144" t="s">
        <v>279</v>
      </c>
      <c r="B13" s="144">
        <v>54</v>
      </c>
      <c r="C13" s="145" t="s">
        <v>118</v>
      </c>
      <c r="D13" s="145" t="str">
        <f>INDEX('San Collection - Oversize'!$L$12:$AM$33, MATCH($B$13,'San Collection - Oversize'!$A$12:$A$33,0),MATCH(D3,'San Collection - Oversize'!$L$10:$AM$10,0))</f>
        <v/>
      </c>
      <c r="E13" s="145" t="str">
        <f>INDEX('San Collection - Oversize'!$L$12:$AM$33, MATCH($B$13,'San Collection - Oversize'!$A$12:$A$33,0),MATCH(E3,'San Collection - Oversize'!$L$10:$AM$10,0))</f>
        <v/>
      </c>
      <c r="F13" s="145">
        <f>INDEX('San Collection - Oversize'!$L$12:$AM$33, MATCH($B$13,'San Collection - Oversize'!$A$12:$A$33,0),MATCH(F3,'San Collection - Oversize'!$L$10:$AM$10,0))</f>
        <v>11658.785624999999</v>
      </c>
      <c r="G13" s="145">
        <f>INDEX('San Collection - Oversize'!$L$12:$AM$33, MATCH($B$13,'San Collection - Oversize'!$A$12:$A$33,0),MATCH(G3,'San Collection - Oversize'!$L$10:$AM$10,0))</f>
        <v>11950.255265624999</v>
      </c>
      <c r="H13" s="145" t="str">
        <f>INDEX('San Collection - Oversize'!$L$12:$AM$33, MATCH($B$13,'San Collection - Oversize'!$A$12:$A$33,0),MATCH(H3,'San Collection - Oversize'!$L$10:$AM$10,0))</f>
        <v/>
      </c>
      <c r="I13" s="145" t="str">
        <f>INDEX('San Collection - Oversize'!$L$12:$AM$33, MATCH($B$13,'San Collection - Oversize'!$A$12:$A$33,0),MATCH(I3,'San Collection - Oversize'!$L$10:$AM$10,0))</f>
        <v/>
      </c>
      <c r="J13" s="145" t="str">
        <f>INDEX('San Collection - Oversize'!$L$12:$AM$33, MATCH($B$13,'San Collection - Oversize'!$A$12:$A$33,0),MATCH(J3,'San Collection - Oversize'!$L$10:$AM$10,0))</f>
        <v/>
      </c>
      <c r="K13" s="145" t="str">
        <f>INDEX('San Collection - Oversize'!$L$12:$AM$33, MATCH($B$13,'San Collection - Oversize'!$A$12:$A$33,0),MATCH(K3,'San Collection - Oversize'!$L$10:$AM$10,0))</f>
        <v/>
      </c>
      <c r="L13" s="145" t="str">
        <f>INDEX('San Collection - Oversize'!$L$12:$AM$33, MATCH($B$13,'San Collection - Oversize'!$A$12:$A$33,0),MATCH(L3,'San Collection - Oversize'!$L$10:$AM$10,0))</f>
        <v/>
      </c>
      <c r="M13" s="145" t="str">
        <f>INDEX('San Collection - Oversize'!$L$12:$AM$33, MATCH($B$13,'San Collection - Oversize'!$A$12:$A$33,0),MATCH(M3,'San Collection - Oversize'!$L$10:$AM$10,0))</f>
        <v/>
      </c>
      <c r="N13" s="145" t="str">
        <f>INDEX('San Collection - Oversize'!$L$12:$AM$33, MATCH($B$13,'San Collection - Oversize'!$A$12:$A$33,0),MATCH(N3,'San Collection - Oversize'!$L$10:$AM$10,0))</f>
        <v/>
      </c>
      <c r="O13" s="145" t="str">
        <f>INDEX('San Collection - Oversize'!$L$12:$AM$33, MATCH($B$13,'San Collection - Oversize'!$A$12:$A$33,0),MATCH(O3,'San Collection - Oversize'!$L$10:$AM$10,0))</f>
        <v/>
      </c>
      <c r="P13" s="145" t="str">
        <f>INDEX('San Collection - Oversize'!$L$12:$AM$33, MATCH($B$13,'San Collection - Oversize'!$A$12:$A$33,0),MATCH(P3,'San Collection - Oversize'!$L$10:$AM$10,0))</f>
        <v/>
      </c>
      <c r="Q13" s="145" t="str">
        <f>INDEX('San Collection - Oversize'!$L$12:$AM$33, MATCH($B$13,'San Collection - Oversize'!$A$12:$A$33,0),MATCH(Q3,'San Collection - Oversize'!$L$10:$AM$10,0))</f>
        <v/>
      </c>
      <c r="R13" s="145" t="str">
        <f>INDEX('San Collection - Oversize'!$L$12:$AM$33, MATCH($B$13,'San Collection - Oversize'!$A$12:$A$33,0),MATCH(R3,'San Collection - Oversize'!$L$10:$AM$10,0))</f>
        <v/>
      </c>
      <c r="S13" s="145" t="str">
        <f>INDEX('San Collection - Oversize'!$L$12:$AM$33, MATCH($B$13,'San Collection - Oversize'!$A$12:$A$33,0),MATCH(S3,'San Collection - Oversize'!$L$10:$AM$10,0))</f>
        <v/>
      </c>
      <c r="T13" s="145" t="str">
        <f>INDEX('San Collection - Oversize'!$L$12:$AM$33, MATCH($B$13,'San Collection - Oversize'!$A$12:$A$33,0),MATCH(T3,'San Collection - Oversize'!$L$10:$AM$10,0))</f>
        <v/>
      </c>
      <c r="U13" s="145" t="str">
        <f>INDEX('San Collection - Oversize'!$L$12:$AM$33, MATCH($B$13,'San Collection - Oversize'!$A$12:$A$33,0),MATCH(U3,'San Collection - Oversize'!$L$10:$AM$10,0))</f>
        <v/>
      </c>
      <c r="V13" s="145" t="str">
        <f>INDEX('San Collection - Oversize'!$L$12:$AM$33, MATCH($B$13,'San Collection - Oversize'!$A$12:$A$33,0),MATCH(V3,'San Collection - Oversize'!$L$10:$AM$10,0))</f>
        <v/>
      </c>
      <c r="W13" s="145" t="str">
        <f>INDEX('San Collection - Oversize'!$L$12:$AM$33, MATCH($B$13,'San Collection - Oversize'!$A$12:$A$33,0),MATCH(W3,'San Collection - Oversize'!$L$10:$AM$10,0))</f>
        <v/>
      </c>
      <c r="X13" s="145" t="str">
        <f>INDEX('San Collection - Oversize'!$L$12:$AM$33, MATCH($B$13,'San Collection - Oversize'!$A$12:$A$33,0),MATCH(X3,'San Collection - Oversize'!$L$10:$AM$10,0))</f>
        <v/>
      </c>
      <c r="Y13" s="145" t="str">
        <f>INDEX('San Collection - Oversize'!$L$12:$AM$33, MATCH($B$13,'San Collection - Oversize'!$A$12:$A$33,0),MATCH(Y3,'San Collection - Oversize'!$L$10:$AM$10,0))</f>
        <v/>
      </c>
      <c r="Z13" s="145" t="str">
        <f>INDEX('San Collection - Oversize'!$L$12:$AM$33, MATCH($B$13,'San Collection - Oversize'!$A$12:$A$33,0),MATCH(Z3,'San Collection - Oversize'!$L$10:$AM$10,0))</f>
        <v/>
      </c>
      <c r="AA13" s="145" t="str">
        <f>INDEX('San Collection - Oversize'!$L$12:$AM$33, MATCH($B$13,'San Collection - Oversize'!$A$12:$A$33,0),MATCH(AA3,'San Collection - Oversize'!$L$10:$AM$10,0))</f>
        <v/>
      </c>
      <c r="AB13" s="145" t="str">
        <f>INDEX('San Collection - Oversize'!$L$12:$AM$33, MATCH($B$13,'San Collection - Oversize'!$A$12:$A$33,0),MATCH(AB3,'San Collection - Oversize'!$L$10:$AM$10,0))</f>
        <v/>
      </c>
      <c r="AC13" s="145" t="str">
        <f>INDEX('San Collection - Oversize'!$L$12:$AM$33, MATCH($B$13,'San Collection - Oversize'!$A$12:$A$33,0),MATCH(AC3,'San Collection - Oversize'!$L$10:$AM$10,0))</f>
        <v/>
      </c>
      <c r="AD13" s="145" t="str">
        <f>INDEX('San Collection - Oversize'!$L$12:$AM$33, MATCH($B$13,'San Collection - Oversize'!$A$12:$A$33,0),MATCH(AD3,'San Collection - Oversize'!$L$10:$AM$10,0))</f>
        <v/>
      </c>
      <c r="AE13" s="145" t="str">
        <f>INDEX('San Collection - Oversize'!$L$12:$AM$33, MATCH($B$13,'San Collection - Oversize'!$A$12:$A$33,0),MATCH(AE3,'San Collection - Oversize'!$L$10:$AM$10,0))</f>
        <v/>
      </c>
      <c r="AF13" s="690">
        <f>SUM(C13:AC13)</f>
        <v>23609.040890624998</v>
      </c>
    </row>
    <row r="14" spans="1:32">
      <c r="A14" s="631"/>
      <c r="B14" s="141"/>
      <c r="C14" s="125"/>
      <c r="D14" s="125"/>
      <c r="E14" s="125"/>
      <c r="F14" s="125" cm="1">
        <f t="array" ref="F14">_xlfn.LET(_xlpm.x, F5-SUM($D$7:F7)-SUM($D$9:F9)-SUM($D$11:F11)-SUM($D$13:F13),IF(OR(_xlpm.x&lt;0, INDEX(E:E,ROW()-1)&lt;0), _xlpm.x, 0))</f>
        <v>-317791.35953930195</v>
      </c>
      <c r="G14" s="125" cm="1">
        <f t="array" ref="G14">_xlfn.LET(_xlpm.x, G5-SUM($D$7:G7)-SUM($D$9:G9)-SUM($D$11:G11)-SUM($D$13:G13),IF(OR(_xlpm.x&lt;0, INDEX(F:F,ROW()-1)&lt;0), _xlpm.x, 0))</f>
        <v>-33375.937769613971</v>
      </c>
      <c r="H14" s="345" cm="1">
        <f t="array" ref="H14">_xlfn.LET(_xlpm.x, H5-SUM($D$7:H7)-SUM($D$9:H9)-SUM($D$11:H11)-SUM($D$13:H13),IF(OR(_xlpm.x&lt;0, INDEX(G:G,ROW()-1)&lt;0), _xlpm.x, 0))</f>
        <v>0</v>
      </c>
      <c r="I14" s="125" cm="1">
        <f t="array" ref="I14">_xlfn.LET(_xlpm.x, I5-SUM($D$7:I7)-SUM($D$9:I9)-SUM($D$11:I11)-SUM($D$13:I13),IF(OR(_xlpm.x&lt;0, INDEX(H:H,ROW()-1)&lt;0), _xlpm.x, 0))</f>
        <v>0</v>
      </c>
      <c r="J14" s="125" cm="1">
        <f t="array" ref="J14">_xlfn.LET(_xlpm.x, J5-SUM($D$7:J7)-SUM($D$9:J9)-SUM($D$11:J11)-SUM($D$13:J13),IF(OR(_xlpm.x&lt;0, INDEX(I:I,ROW()-1)&lt;0), _xlpm.x, 0))</f>
        <v>0</v>
      </c>
      <c r="K14" s="125" cm="1">
        <f t="array" ref="K14">_xlfn.LET(_xlpm.x, K5-SUM($D$7:K7)-SUM($D$9:K9)-SUM($D$11:K11)-SUM($D$13:K13),IF(OR(_xlpm.x&lt;0, INDEX(J:J,ROW()-1)&lt;0), _xlpm.x, 0))</f>
        <v>0</v>
      </c>
      <c r="L14" s="125" cm="1">
        <f t="array" ref="L14">_xlfn.LET(_xlpm.x, L5-SUM($D$7:L7)-SUM($D$9:L9)-SUM($D$11:L11)-SUM($D$13:L13),IF(OR(_xlpm.x&lt;0, INDEX(K:K,ROW()-1)&lt;0), _xlpm.x, 0))</f>
        <v>0</v>
      </c>
      <c r="M14" s="125" cm="1">
        <f t="array" ref="M14">_xlfn.LET(_xlpm.x, M5-SUM($D$7:M7)-SUM($D$9:M9)-SUM($D$11:M11)-SUM($D$13:M13),IF(OR(_xlpm.x&lt;0, INDEX(L:L,ROW()-1)&lt;0), _xlpm.x, 0))</f>
        <v>0</v>
      </c>
      <c r="N14" s="125" cm="1">
        <f t="array" ref="N14">_xlfn.LET(_xlpm.x, N5-SUM($D$7:N7)-SUM($D$9:N9)-SUM($D$11:N11)-SUM($D$13:N13),IF(OR(_xlpm.x&lt;0, INDEX(M:M,ROW()-1)&lt;0), _xlpm.x, 0))</f>
        <v>0</v>
      </c>
      <c r="O14" s="125" cm="1">
        <f t="array" ref="O14">_xlfn.LET(_xlpm.x, O5-SUM($D$7:O7)-SUM($D$9:O9)-SUM($D$11:O11)-SUM($D$13:O13),IF(OR(_xlpm.x&lt;0, INDEX(N:N,ROW()-1)&lt;0), _xlpm.x, 0))</f>
        <v>0</v>
      </c>
      <c r="P14" s="125"/>
      <c r="Q14" s="125"/>
      <c r="R14" s="125"/>
      <c r="S14" s="125"/>
      <c r="T14" s="125"/>
      <c r="U14" s="125"/>
      <c r="V14" s="125"/>
      <c r="W14" s="125"/>
      <c r="X14" s="125"/>
      <c r="Y14" s="125"/>
      <c r="Z14" s="125"/>
      <c r="AA14" s="125"/>
      <c r="AB14" s="125"/>
      <c r="AC14" s="125"/>
      <c r="AD14" s="125"/>
      <c r="AE14" s="125"/>
    </row>
    <row r="15" spans="1:32">
      <c r="A15" s="144" t="s">
        <v>279</v>
      </c>
      <c r="B15" s="144">
        <v>57</v>
      </c>
      <c r="C15" s="145" t="s">
        <v>118</v>
      </c>
      <c r="D15" s="145" t="str">
        <f>INDEX('San Collection - Oversize'!$L$12:$AM$33, MATCH($B$15,'San Collection - Oversize'!$A$12:$A$33,0),MATCH(D3,'San Collection - Oversize'!$L$10:$AM$10,0))</f>
        <v/>
      </c>
      <c r="E15" s="145" t="str">
        <f>INDEX('San Collection - Oversize'!$L$12:$AM$33, MATCH($B$15,'San Collection - Oversize'!$A$12:$A$33,0),MATCH(E3,'San Collection - Oversize'!$L$10:$AM$10,0))</f>
        <v/>
      </c>
      <c r="F15" s="145">
        <f>INDEX('San Collection - Oversize'!$L$12:$AM$33, MATCH($B$15,'San Collection - Oversize'!$A$12:$A$33,0),MATCH(F3,'San Collection - Oversize'!$L$10:$AM$10,0))</f>
        <v>14892.609374999998</v>
      </c>
      <c r="G15" s="145">
        <f>INDEX('San Collection - Oversize'!$L$12:$AM$33, MATCH($B$15,'San Collection - Oversize'!$A$12:$A$33,0),MATCH(G3,'San Collection - Oversize'!$L$10:$AM$10,0))</f>
        <v>15264.924609374999</v>
      </c>
      <c r="H15" s="145" t="str">
        <f>INDEX('San Collection - Oversize'!$L$12:$AM$33, MATCH($B$15,'San Collection - Oversize'!$A$12:$A$33,0),MATCH(H3,'San Collection - Oversize'!$L$10:$AM$10,0))</f>
        <v/>
      </c>
      <c r="I15" s="145" t="str">
        <f>INDEX('San Collection - Oversize'!$L$12:$AM$33, MATCH($B$15,'San Collection - Oversize'!$A$12:$A$33,0),MATCH(I3,'San Collection - Oversize'!$L$10:$AM$10,0))</f>
        <v/>
      </c>
      <c r="J15" s="145" t="str">
        <f>INDEX('San Collection - Oversize'!$L$12:$AM$33, MATCH($B$15,'San Collection - Oversize'!$A$12:$A$33,0),MATCH(J3,'San Collection - Oversize'!$L$10:$AM$10,0))</f>
        <v/>
      </c>
      <c r="K15" s="145" t="str">
        <f>INDEX('San Collection - Oversize'!$L$12:$AM$33, MATCH($B$15,'San Collection - Oversize'!$A$12:$A$33,0),MATCH(K3,'San Collection - Oversize'!$L$10:$AM$10,0))</f>
        <v/>
      </c>
      <c r="L15" s="145" t="str">
        <f>INDEX('San Collection - Oversize'!$L$12:$AM$33, MATCH($B$15,'San Collection - Oversize'!$A$12:$A$33,0),MATCH(L3,'San Collection - Oversize'!$L$10:$AM$10,0))</f>
        <v/>
      </c>
      <c r="M15" s="145" t="str">
        <f>INDEX('San Collection - Oversize'!$L$12:$AM$33, MATCH($B$15,'San Collection - Oversize'!$A$12:$A$33,0),MATCH(M3,'San Collection - Oversize'!$L$10:$AM$10,0))</f>
        <v/>
      </c>
      <c r="N15" s="145" t="str">
        <f>INDEX('San Collection - Oversize'!$L$12:$AM$33, MATCH($B$15,'San Collection - Oversize'!$A$12:$A$33,0),MATCH(N3,'San Collection - Oversize'!$L$10:$AM$10,0))</f>
        <v/>
      </c>
      <c r="O15" s="145" t="str">
        <f>INDEX('San Collection - Oversize'!$L$12:$AM$33, MATCH($B$15,'San Collection - Oversize'!$A$12:$A$33,0),MATCH(O3,'San Collection - Oversize'!$L$10:$AM$10,0))</f>
        <v/>
      </c>
      <c r="P15" s="145" t="str">
        <f>INDEX('San Collection - Oversize'!$L$12:$AM$33, MATCH($B$15,'San Collection - Oversize'!$A$12:$A$33,0),MATCH(P3,'San Collection - Oversize'!$L$10:$AM$10,0))</f>
        <v/>
      </c>
      <c r="Q15" s="145" t="str">
        <f>INDEX('San Collection - Oversize'!$L$12:$AM$33, MATCH($B$15,'San Collection - Oversize'!$A$12:$A$33,0),MATCH(Q3,'San Collection - Oversize'!$L$10:$AM$10,0))</f>
        <v/>
      </c>
      <c r="R15" s="145" t="str">
        <f>INDEX('San Collection - Oversize'!$L$12:$AM$33, MATCH($B$15,'San Collection - Oversize'!$A$12:$A$33,0),MATCH(R3,'San Collection - Oversize'!$L$10:$AM$10,0))</f>
        <v/>
      </c>
      <c r="S15" s="145" t="str">
        <f>INDEX('San Collection - Oversize'!$L$12:$AM$33, MATCH($B$15,'San Collection - Oversize'!$A$12:$A$33,0),MATCH(S3,'San Collection - Oversize'!$L$10:$AM$10,0))</f>
        <v/>
      </c>
      <c r="T15" s="145" t="str">
        <f>INDEX('San Collection - Oversize'!$L$12:$AM$33, MATCH($B$15,'San Collection - Oversize'!$A$12:$A$33,0),MATCH(T3,'San Collection - Oversize'!$L$10:$AM$10,0))</f>
        <v/>
      </c>
      <c r="U15" s="145" t="str">
        <f>INDEX('San Collection - Oversize'!$L$12:$AM$33, MATCH($B$15,'San Collection - Oversize'!$A$12:$A$33,0),MATCH(U3,'San Collection - Oversize'!$L$10:$AM$10,0))</f>
        <v/>
      </c>
      <c r="V15" s="145" t="str">
        <f>INDEX('San Collection - Oversize'!$L$12:$AM$33, MATCH($B$15,'San Collection - Oversize'!$A$12:$A$33,0),MATCH(V3,'San Collection - Oversize'!$L$10:$AM$10,0))</f>
        <v/>
      </c>
      <c r="W15" s="145" t="str">
        <f>INDEX('San Collection - Oversize'!$L$12:$AM$33, MATCH($B$15,'San Collection - Oversize'!$A$12:$A$33,0),MATCH(W3,'San Collection - Oversize'!$L$10:$AM$10,0))</f>
        <v/>
      </c>
      <c r="X15" s="145" t="str">
        <f>INDEX('San Collection - Oversize'!$L$12:$AM$33, MATCH($B$15,'San Collection - Oversize'!$A$12:$A$33,0),MATCH(X3,'San Collection - Oversize'!$L$10:$AM$10,0))</f>
        <v/>
      </c>
      <c r="Y15" s="145" t="str">
        <f>INDEX('San Collection - Oversize'!$L$12:$AM$33, MATCH($B$15,'San Collection - Oversize'!$A$12:$A$33,0),MATCH(Y3,'San Collection - Oversize'!$L$10:$AM$10,0))</f>
        <v/>
      </c>
      <c r="Z15" s="145" t="str">
        <f>INDEX('San Collection - Oversize'!$L$12:$AM$33, MATCH($B$15,'San Collection - Oversize'!$A$12:$A$33,0),MATCH(Z3,'San Collection - Oversize'!$L$10:$AM$10,0))</f>
        <v/>
      </c>
      <c r="AA15" s="145" t="str">
        <f>INDEX('San Collection - Oversize'!$L$12:$AM$33, MATCH($B$15,'San Collection - Oversize'!$A$12:$A$33,0),MATCH(AA3,'San Collection - Oversize'!$L$10:$AM$10,0))</f>
        <v/>
      </c>
      <c r="AB15" s="145" t="str">
        <f>INDEX('San Collection - Oversize'!$L$12:$AM$33, MATCH($B$15,'San Collection - Oversize'!$A$12:$A$33,0),MATCH(AB3,'San Collection - Oversize'!$L$10:$AM$10,0))</f>
        <v/>
      </c>
      <c r="AC15" s="145" t="str">
        <f>INDEX('San Collection - Oversize'!$L$12:$AM$33, MATCH($B$15,'San Collection - Oversize'!$A$12:$A$33,0),MATCH(AC3,'San Collection - Oversize'!$L$10:$AM$10,0))</f>
        <v/>
      </c>
      <c r="AD15" s="145" t="str">
        <f>INDEX('San Collection - Oversize'!$L$12:$AM$33, MATCH($B$15,'San Collection - Oversize'!$A$12:$A$33,0),MATCH(AD3,'San Collection - Oversize'!$L$10:$AM$10,0))</f>
        <v/>
      </c>
      <c r="AE15" s="145" t="str">
        <f>INDEX('San Collection - Oversize'!$L$12:$AM$33, MATCH($B$15,'San Collection - Oversize'!$A$12:$A$33,0),MATCH(AE3,'San Collection - Oversize'!$L$10:$AM$10,0))</f>
        <v/>
      </c>
      <c r="AF15" s="690">
        <f>SUM(C15:AC15)</f>
        <v>30157.533984374997</v>
      </c>
    </row>
    <row r="16" spans="1:32">
      <c r="A16" s="631"/>
      <c r="B16" s="141"/>
      <c r="C16" s="125"/>
      <c r="D16" s="125"/>
      <c r="E16" s="125"/>
      <c r="F16" s="125" cm="1">
        <f t="array" ref="F16">_xlfn.LET(_xlpm.x, F5-SUM($D$7:F7)-SUM($D$9:F9)-SUM($D$11:F11)-SUM($D$13:F13)-SUM($D$15:F15),IF(OR(_xlpm.x&lt;0, INDEX(E:E,ROW()-1)&lt;0), _xlpm.x, 0))</f>
        <v>-332683.96891430195</v>
      </c>
      <c r="G16" s="125" cm="1">
        <f t="array" ref="G16">_xlfn.LET(_xlpm.x, G5-SUM($D$7:G7)-SUM($D$9:G9)-SUM($D$11:G11)-SUM($D$13:G13)-SUM($D$15:G15),IF(OR(_xlpm.x&lt;0, INDEX(F:F,ROW()-1)&lt;0), _xlpm.x, 0))</f>
        <v>-63533.471753988968</v>
      </c>
      <c r="H16" s="125" cm="1">
        <f t="array" ref="H16">_xlfn.LET(_xlpm.x, H5-SUM($D$7:H7)-SUM($D$9:H9)-SUM($D$11:H11)-SUM($D$13:H13)-SUM($D$15:H15),IF(OR(_xlpm.x&lt;0, INDEX(G:G,ROW()-1)&lt;0), _xlpm.x, 0))</f>
        <v>0</v>
      </c>
      <c r="I16" s="125" cm="1">
        <f t="array" ref="I16">_xlfn.LET(_xlpm.x, I5-SUM($D$7:I7)-SUM($D$9:I9)-SUM($D$11:I11)-SUM($D$13:I13)-SUM($D$15:I15),IF(OR(_xlpm.x&lt;0, INDEX(H:H,ROW()-1)&lt;0), _xlpm.x, 0))</f>
        <v>0</v>
      </c>
      <c r="J16" s="125" cm="1">
        <f t="array" ref="J16">_xlfn.LET(_xlpm.x, J5-SUM($D$7:J7)-SUM($D$9:J9)-SUM($D$11:J11)-SUM($D$13:J13)-SUM($D$15:J15),IF(OR(_xlpm.x&lt;0, INDEX(I:I,ROW()-1)&lt;0), _xlpm.x, 0))</f>
        <v>0</v>
      </c>
      <c r="K16" s="125" cm="1">
        <f t="array" ref="K16">_xlfn.LET(_xlpm.x, K5-SUM($D$7:K7)-SUM($D$9:K9)-SUM($D$11:K11)-SUM($D$13:K13)-SUM($D$15:K15),IF(OR(_xlpm.x&lt;0, INDEX(J:J,ROW()-1)&lt;0), _xlpm.x, 0))</f>
        <v>0</v>
      </c>
      <c r="L16" s="125" cm="1">
        <f t="array" ref="L16">_xlfn.LET(_xlpm.x, L5-SUM($D$7:L7)-SUM($D$9:L9)-SUM($D$11:L11)-SUM($D$13:L13)-SUM($D$15:L15),IF(OR(_xlpm.x&lt;0, INDEX(K:K,ROW()-1)&lt;0), _xlpm.x, 0))</f>
        <v>0</v>
      </c>
      <c r="M16" s="125" cm="1">
        <f t="array" ref="M16">_xlfn.LET(_xlpm.x, M5-SUM($D$7:M7)-SUM($D$9:M9)-SUM($D$11:M11)-SUM($D$13:M13)-SUM($D$15:M15),IF(OR(_xlpm.x&lt;0, INDEX(L:L,ROW()-1)&lt;0), _xlpm.x, 0))</f>
        <v>0</v>
      </c>
      <c r="N16" s="125" cm="1">
        <f t="array" ref="N16">_xlfn.LET(_xlpm.x, N5-SUM($D$7:N7)-SUM($D$9:N9)-SUM($D$11:N11)-SUM($D$13:N13)-SUM($D$15:N15),IF(OR(_xlpm.x&lt;0, INDEX(M:M,ROW()-1)&lt;0), _xlpm.x, 0))</f>
        <v>0</v>
      </c>
      <c r="O16" s="125" cm="1">
        <f t="array" ref="O16">_xlfn.LET(_xlpm.x, O5-SUM($D$7:O7)-SUM($D$9:O9)-SUM($D$11:O11)-SUM($D$13:O13)-SUM($D$15:O15),IF(OR(_xlpm.x&lt;0, INDEX(N:N,ROW()-1)&lt;0), _xlpm.x, 0))</f>
        <v>0</v>
      </c>
      <c r="P16" s="125"/>
      <c r="Q16" s="125"/>
      <c r="R16" s="125"/>
      <c r="S16" s="125"/>
      <c r="T16" s="125"/>
      <c r="U16" s="125"/>
      <c r="V16" s="125"/>
      <c r="W16" s="125"/>
      <c r="X16" s="125"/>
      <c r="Y16" s="125"/>
      <c r="Z16" s="125"/>
      <c r="AA16" s="125"/>
      <c r="AB16" s="125"/>
      <c r="AC16" s="125"/>
      <c r="AD16" s="125"/>
      <c r="AE16" s="125"/>
    </row>
    <row r="17" spans="1:32">
      <c r="A17" s="144" t="s">
        <v>279</v>
      </c>
      <c r="B17" s="144" t="s">
        <v>60</v>
      </c>
      <c r="C17" s="145" t="s">
        <v>118</v>
      </c>
      <c r="D17" s="145" t="str">
        <f>INDEX('San Collection - Oversize'!$L$12:$AM$33, MATCH($B$17,'San Collection - Oversize'!$A$12:$A$33,0),MATCH(D3,'San Collection - Oversize'!$L$10:$AM$10,0))</f>
        <v/>
      </c>
      <c r="E17" s="145" t="str">
        <f>INDEX('San Collection - Oversize'!$L$12:$AM$33, MATCH($B$17,'San Collection - Oversize'!$A$12:$A$33,0),MATCH(E3,'San Collection - Oversize'!$L$10:$AM$10,0))</f>
        <v/>
      </c>
      <c r="F17" s="145" t="str">
        <f>INDEX('San Collection - Oversize'!$L$12:$AM$33, MATCH($B$17,'San Collection - Oversize'!$A$12:$A$33,0),MATCH(F3,'San Collection - Oversize'!$L$10:$AM$10,0))</f>
        <v/>
      </c>
      <c r="G17" s="145">
        <f>INDEX('San Collection - Oversize'!$L$12:$AM$33, MATCH($B$17,'San Collection - Oversize'!$A$12:$A$33,0),MATCH(G3,'San Collection - Oversize'!$L$10:$AM$10,0))</f>
        <v>75054.968999999997</v>
      </c>
      <c r="H17" s="145">
        <f>INDEX('San Collection - Oversize'!$L$12:$AM$33, MATCH($B$17,'San Collection - Oversize'!$A$12:$A$33,0),MATCH(H3,'San Collection - Oversize'!$L$10:$AM$10,0))</f>
        <v>76931.34322499999</v>
      </c>
      <c r="I17" s="145" t="str">
        <f>INDEX('San Collection - Oversize'!$L$12:$AM$33, MATCH($B$17,'San Collection - Oversize'!$A$12:$A$33,0),MATCH(I3,'San Collection - Oversize'!$L$10:$AM$10,0))</f>
        <v/>
      </c>
      <c r="J17" s="145" t="str">
        <f>INDEX('San Collection - Oversize'!$L$12:$AM$33, MATCH($B$17,'San Collection - Oversize'!$A$12:$A$33,0),MATCH(J3,'San Collection - Oversize'!$L$10:$AM$10,0))</f>
        <v/>
      </c>
      <c r="K17" s="145" t="str">
        <f>INDEX('San Collection - Oversize'!$L$12:$AM$33, MATCH($B$17,'San Collection - Oversize'!$A$12:$A$33,0),MATCH(K3,'San Collection - Oversize'!$L$10:$AM$10,0))</f>
        <v/>
      </c>
      <c r="L17" s="145" t="str">
        <f>INDEX('San Collection - Oversize'!$L$12:$AM$33, MATCH($B$17,'San Collection - Oversize'!$A$12:$A$33,0),MATCH(L3,'San Collection - Oversize'!$L$10:$AM$10,0))</f>
        <v/>
      </c>
      <c r="M17" s="145" t="str">
        <f>INDEX('San Collection - Oversize'!$L$12:$AM$33, MATCH($B$17,'San Collection - Oversize'!$A$12:$A$33,0),MATCH(M3,'San Collection - Oversize'!$L$10:$AM$10,0))</f>
        <v/>
      </c>
      <c r="N17" s="145" t="str">
        <f>INDEX('San Collection - Oversize'!$L$12:$AM$33, MATCH($B$17,'San Collection - Oversize'!$A$12:$A$33,0),MATCH(N3,'San Collection - Oversize'!$L$10:$AM$10,0))</f>
        <v/>
      </c>
      <c r="O17" s="145" t="str">
        <f>INDEX('San Collection - Oversize'!$L$12:$AM$33, MATCH($B$17,'San Collection - Oversize'!$A$12:$A$33,0),MATCH(O3,'San Collection - Oversize'!$L$10:$AM$10,0))</f>
        <v/>
      </c>
      <c r="P17" s="145" t="str">
        <f>INDEX('San Collection - Oversize'!$L$12:$AM$33, MATCH($B$17,'San Collection - Oversize'!$A$12:$A$33,0),MATCH(P3,'San Collection - Oversize'!$L$10:$AM$10,0))</f>
        <v/>
      </c>
      <c r="Q17" s="145" t="str">
        <f>INDEX('San Collection - Oversize'!$L$12:$AM$33, MATCH($B$17,'San Collection - Oversize'!$A$12:$A$33,0),MATCH(Q3,'San Collection - Oversize'!$L$10:$AM$10,0))</f>
        <v/>
      </c>
      <c r="R17" s="145" t="str">
        <f>INDEX('San Collection - Oversize'!$L$12:$AM$33, MATCH($B$17,'San Collection - Oversize'!$A$12:$A$33,0),MATCH(R3,'San Collection - Oversize'!$L$10:$AM$10,0))</f>
        <v/>
      </c>
      <c r="S17" s="145" t="str">
        <f>INDEX('San Collection - Oversize'!$L$12:$AM$33, MATCH($B$17,'San Collection - Oversize'!$A$12:$A$33,0),MATCH(S3,'San Collection - Oversize'!$L$10:$AM$10,0))</f>
        <v/>
      </c>
      <c r="T17" s="145" t="str">
        <f>INDEX('San Collection - Oversize'!$L$12:$AM$33, MATCH($B$17,'San Collection - Oversize'!$A$12:$A$33,0),MATCH(T3,'San Collection - Oversize'!$L$10:$AM$10,0))</f>
        <v/>
      </c>
      <c r="U17" s="145" t="str">
        <f>INDEX('San Collection - Oversize'!$L$12:$AM$33, MATCH($B$17,'San Collection - Oversize'!$A$12:$A$33,0),MATCH(U3,'San Collection - Oversize'!$L$10:$AM$10,0))</f>
        <v/>
      </c>
      <c r="V17" s="145" t="str">
        <f>INDEX('San Collection - Oversize'!$L$12:$AM$33, MATCH($B$17,'San Collection - Oversize'!$A$12:$A$33,0),MATCH(V3,'San Collection - Oversize'!$L$10:$AM$10,0))</f>
        <v/>
      </c>
      <c r="W17" s="145" t="str">
        <f>INDEX('San Collection - Oversize'!$L$12:$AM$33, MATCH($B$17,'San Collection - Oversize'!$A$12:$A$33,0),MATCH(W3,'San Collection - Oversize'!$L$10:$AM$10,0))</f>
        <v/>
      </c>
      <c r="X17" s="145" t="str">
        <f>INDEX('San Collection - Oversize'!$L$12:$AM$33, MATCH($B$17,'San Collection - Oversize'!$A$12:$A$33,0),MATCH(X3,'San Collection - Oversize'!$L$10:$AM$10,0))</f>
        <v/>
      </c>
      <c r="Y17" s="145" t="str">
        <f>INDEX('San Collection - Oversize'!$L$12:$AM$33, MATCH($B$17,'San Collection - Oversize'!$A$12:$A$33,0),MATCH(Y3,'San Collection - Oversize'!$L$10:$AM$10,0))</f>
        <v/>
      </c>
      <c r="Z17" s="145" t="str">
        <f>INDEX('San Collection - Oversize'!$L$12:$AM$33, MATCH($B$17,'San Collection - Oversize'!$A$12:$A$33,0),MATCH(Z3,'San Collection - Oversize'!$L$10:$AM$10,0))</f>
        <v/>
      </c>
      <c r="AA17" s="145" t="str">
        <f>INDEX('San Collection - Oversize'!$L$12:$AM$33, MATCH($B$17,'San Collection - Oversize'!$A$12:$A$33,0),MATCH(AA3,'San Collection - Oversize'!$L$10:$AM$10,0))</f>
        <v/>
      </c>
      <c r="AB17" s="145" t="str">
        <f>INDEX('San Collection - Oversize'!$L$12:$AM$33, MATCH($B$17,'San Collection - Oversize'!$A$12:$A$33,0),MATCH(AB3,'San Collection - Oversize'!$L$10:$AM$10,0))</f>
        <v/>
      </c>
      <c r="AC17" s="145" t="str">
        <f>INDEX('San Collection - Oversize'!$L$12:$AM$33, MATCH($B$17,'San Collection - Oversize'!$A$12:$A$33,0),MATCH(AC3,'San Collection - Oversize'!$L$10:$AM$10,0))</f>
        <v/>
      </c>
      <c r="AD17" s="145" t="str">
        <f>INDEX('San Collection - Oversize'!$L$12:$AM$33, MATCH($B$17,'San Collection - Oversize'!$A$12:$A$33,0),MATCH(AD3,'San Collection - Oversize'!$L$10:$AM$10,0))</f>
        <v/>
      </c>
      <c r="AE17" s="145" t="str">
        <f>INDEX('San Collection - Oversize'!$L$12:$AM$33, MATCH($B$17,'San Collection - Oversize'!$A$12:$A$33,0),MATCH(AE3,'San Collection - Oversize'!$L$10:$AM$10,0))</f>
        <v/>
      </c>
      <c r="AF17" s="690">
        <f>SUM(C17:AC17)</f>
        <v>151986.312225</v>
      </c>
    </row>
    <row r="18" spans="1:32">
      <c r="A18" s="631"/>
      <c r="B18" s="141"/>
      <c r="C18" s="125"/>
      <c r="D18" s="125"/>
      <c r="E18" s="125"/>
      <c r="F18" s="125"/>
      <c r="G18" s="125" cm="1">
        <f t="array" ref="G18">_xlfn.LET(_xlpm.x, G5-SUM($D$7:G7)-SUM($D$9:G9)-SUM($D$11:G11)-SUM($D$13:G13)-SUM($D$15:G15)-SUM($D$17:G17),IF(OR(_xlpm.x&lt;0, INDEX(F:F,ROW()-1)&lt;0), _xlpm.x, 0))</f>
        <v>-138588.44075398898</v>
      </c>
      <c r="H18" s="345" cm="1">
        <f t="array" ref="H18">_xlfn.LET(_xlpm.x, H5-SUM($D$7:H7)-SUM($D$9:H9)-SUM($D$11:H11)-SUM($D$13:H13)-SUM($D$15:H15)-SUM($D$17:H17),IF(OR(_xlpm.x&lt;0, INDEX(G:G,ROW()-1)&lt;0), _xlpm.x, 0))</f>
        <v>0</v>
      </c>
      <c r="I18" s="125" cm="1">
        <f t="array" ref="I18">_xlfn.LET(_xlpm.x, I5-SUM($D$7:I7)-SUM($D$9:I9)-SUM($D$11:I11)-SUM($D$13:I13)-SUM($D$15:I15)-SUM($D$17:I17),IF(OR(_xlpm.x&lt;0, INDEX(H:H,ROW()-1)&lt;0), _xlpm.x, 0))</f>
        <v>0</v>
      </c>
      <c r="J18" s="125" cm="1">
        <f t="array" ref="J18">_xlfn.LET(_xlpm.x, J5-SUM($D$7:J7)-SUM($D$9:J9)-SUM($D$11:J11)-SUM($D$13:J13)-SUM($D$15:J15)-SUM($D$17:J17),IF(OR(_xlpm.x&lt;0, INDEX(I:I,ROW()-1)&lt;0), _xlpm.x, 0))</f>
        <v>0</v>
      </c>
      <c r="K18" s="125" cm="1">
        <f t="array" ref="K18">_xlfn.LET(_xlpm.x, K5-SUM($D$7:K7)-SUM($D$9:K9)-SUM($D$11:K11)-SUM($D$13:K13)-SUM($D$15:K15)-SUM($D$17:K17),IF(OR(_xlpm.x&lt;0, INDEX(J:J,ROW()-1)&lt;0), _xlpm.x, 0))</f>
        <v>0</v>
      </c>
      <c r="L18" s="125" cm="1">
        <f t="array" ref="L18">_xlfn.LET(_xlpm.x, L5-SUM($D$7:L7)-SUM($D$9:L9)-SUM($D$11:L11)-SUM($D$13:L13)-SUM($D$15:L15)-SUM($D$17:L17),IF(OR(_xlpm.x&lt;0, INDEX(K:K,ROW()-1)&lt;0), _xlpm.x, 0))</f>
        <v>0</v>
      </c>
      <c r="M18" s="125" cm="1">
        <f t="array" ref="M18">_xlfn.LET(_xlpm.x, M5-SUM($D$7:M7)-SUM($D$9:M9)-SUM($D$11:M11)-SUM($D$13:M13)-SUM($D$15:M15)-SUM($D$17:M17),IF(OR(_xlpm.x&lt;0, INDEX(L:L,ROW()-1)&lt;0), _xlpm.x, 0))</f>
        <v>0</v>
      </c>
      <c r="N18" s="125" cm="1">
        <f t="array" ref="N18">_xlfn.LET(_xlpm.x, N5-SUM($D$7:N7)-SUM($D$9:N9)-SUM($D$11:N11)-SUM($D$13:N13)-SUM($D$15:N15)-SUM($D$17:N17),IF(OR(_xlpm.x&lt;0, INDEX(M:M,ROW()-1)&lt;0), _xlpm.x, 0))</f>
        <v>0</v>
      </c>
      <c r="O18" s="125" cm="1">
        <f t="array" ref="O18">_xlfn.LET(_xlpm.x, O5-SUM($D$7:O7)-SUM($D$9:O9)-SUM($D$11:O11)-SUM($D$13:O13)-SUM($D$15:O15)-SUM($D$17:O17),IF(OR(_xlpm.x&lt;0, INDEX(N:N,ROW()-1)&lt;0), _xlpm.x, 0))</f>
        <v>0</v>
      </c>
      <c r="P18" s="125" cm="1">
        <f t="array" ref="P18">_xlfn.LET(_xlpm.x, P5-SUM($D$7:P7)-SUM($D$9:P9)-SUM($D$11:P11)-SUM($D$13:P13)-SUM($D$15:P15)-SUM($D$17:P17),IF(OR(_xlpm.x&lt;0, INDEX(O:O,ROW()-1)&lt;0), _xlpm.x, 0))</f>
        <v>0</v>
      </c>
      <c r="Q18" s="125"/>
      <c r="R18" s="125"/>
      <c r="S18" s="125"/>
      <c r="T18" s="125"/>
      <c r="U18" s="125"/>
      <c r="V18" s="125"/>
      <c r="W18" s="125"/>
      <c r="X18" s="125"/>
      <c r="Y18" s="125"/>
      <c r="Z18" s="125"/>
      <c r="AA18" s="125"/>
      <c r="AB18" s="125"/>
      <c r="AC18" s="125"/>
      <c r="AD18" s="125"/>
      <c r="AE18" s="125"/>
    </row>
    <row r="19" spans="1:32">
      <c r="A19" s="144" t="s">
        <v>279</v>
      </c>
      <c r="B19" s="144" t="s">
        <v>62</v>
      </c>
      <c r="C19" s="145" t="s">
        <v>118</v>
      </c>
      <c r="D19" s="145" t="str">
        <f>INDEX('San Collection - Oversize'!$L$12:$AM$33, MATCH($B$19,'San Collection - Oversize'!$A$12:$A$33,0),MATCH(D3,'San Collection - Oversize'!$L$10:$AM$10,0))</f>
        <v/>
      </c>
      <c r="E19" s="145" t="str">
        <f>INDEX('San Collection - Oversize'!$L$12:$AM$33, MATCH($B$19,'San Collection - Oversize'!$A$12:$A$33,0),MATCH(E3,'San Collection - Oversize'!$L$10:$AM$10,0))</f>
        <v/>
      </c>
      <c r="F19" s="145" t="str">
        <f>INDEX('San Collection - Oversize'!$L$12:$AM$33, MATCH($B$19,'San Collection - Oversize'!$A$12:$A$33,0),MATCH(F3,'San Collection - Oversize'!$L$10:$AM$10,0))</f>
        <v/>
      </c>
      <c r="G19" s="145">
        <f>INDEX('San Collection - Oversize'!$L$12:$AM$33, MATCH($B$19,'San Collection - Oversize'!$A$12:$A$33,0),MATCH(G3,'San Collection - Oversize'!$L$10:$AM$10,0))</f>
        <v>65220.803812499995</v>
      </c>
      <c r="H19" s="145">
        <f>INDEX('San Collection - Oversize'!$L$12:$AM$33, MATCH($B$19,'San Collection - Oversize'!$A$12:$A$33,0),MATCH(H3,'San Collection - Oversize'!$L$10:$AM$10,0))</f>
        <v>66851.32390781249</v>
      </c>
      <c r="I19" s="145" t="str">
        <f>INDEX('San Collection - Oversize'!$L$12:$AM$33, MATCH($B$19,'San Collection - Oversize'!$A$12:$A$33,0),MATCH(I3,'San Collection - Oversize'!$L$10:$AM$10,0))</f>
        <v/>
      </c>
      <c r="J19" s="145" t="str">
        <f>INDEX('San Collection - Oversize'!$L$12:$AM$33, MATCH($B$19,'San Collection - Oversize'!$A$12:$A$33,0),MATCH(J3,'San Collection - Oversize'!$L$10:$AM$10,0))</f>
        <v/>
      </c>
      <c r="K19" s="145" t="str">
        <f>INDEX('San Collection - Oversize'!$L$12:$AM$33, MATCH($B$19,'San Collection - Oversize'!$A$12:$A$33,0),MATCH(K3,'San Collection - Oversize'!$L$10:$AM$10,0))</f>
        <v/>
      </c>
      <c r="L19" s="145" t="str">
        <f>INDEX('San Collection - Oversize'!$L$12:$AM$33, MATCH($B$19,'San Collection - Oversize'!$A$12:$A$33,0),MATCH(L3,'San Collection - Oversize'!$L$10:$AM$10,0))</f>
        <v/>
      </c>
      <c r="M19" s="145" t="str">
        <f>INDEX('San Collection - Oversize'!$L$12:$AM$33, MATCH($B$19,'San Collection - Oversize'!$A$12:$A$33,0),MATCH(M3,'San Collection - Oversize'!$L$10:$AM$10,0))</f>
        <v/>
      </c>
      <c r="N19" s="145" t="str">
        <f>INDEX('San Collection - Oversize'!$L$12:$AM$33, MATCH($B$19,'San Collection - Oversize'!$A$12:$A$33,0),MATCH(N3,'San Collection - Oversize'!$L$10:$AM$10,0))</f>
        <v/>
      </c>
      <c r="O19" s="145" t="str">
        <f>INDEX('San Collection - Oversize'!$L$12:$AM$33, MATCH($B$19,'San Collection - Oversize'!$A$12:$A$33,0),MATCH(O3,'San Collection - Oversize'!$L$10:$AM$10,0))</f>
        <v/>
      </c>
      <c r="P19" s="145" t="str">
        <f>INDEX('San Collection - Oversize'!$L$12:$AM$33, MATCH($B$19,'San Collection - Oversize'!$A$12:$A$33,0),MATCH(P3,'San Collection - Oversize'!$L$10:$AM$10,0))</f>
        <v/>
      </c>
      <c r="Q19" s="145" t="str">
        <f>INDEX('San Collection - Oversize'!$L$12:$AM$33, MATCH($B$19,'San Collection - Oversize'!$A$12:$A$33,0),MATCH(Q3,'San Collection - Oversize'!$L$10:$AM$10,0))</f>
        <v/>
      </c>
      <c r="R19" s="145" t="str">
        <f>INDEX('San Collection - Oversize'!$L$12:$AM$33, MATCH($B$19,'San Collection - Oversize'!$A$12:$A$33,0),MATCH(R3,'San Collection - Oversize'!$L$10:$AM$10,0))</f>
        <v/>
      </c>
      <c r="S19" s="145" t="str">
        <f>INDEX('San Collection - Oversize'!$L$12:$AM$33, MATCH($B$19,'San Collection - Oversize'!$A$12:$A$33,0),MATCH(S3,'San Collection - Oversize'!$L$10:$AM$10,0))</f>
        <v/>
      </c>
      <c r="T19" s="145" t="str">
        <f>INDEX('San Collection - Oversize'!$L$12:$AM$33, MATCH($B$19,'San Collection - Oversize'!$A$12:$A$33,0),MATCH(T3,'San Collection - Oversize'!$L$10:$AM$10,0))</f>
        <v/>
      </c>
      <c r="U19" s="145" t="str">
        <f>INDEX('San Collection - Oversize'!$L$12:$AM$33, MATCH($B$19,'San Collection - Oversize'!$A$12:$A$33,0),MATCH(U3,'San Collection - Oversize'!$L$10:$AM$10,0))</f>
        <v/>
      </c>
      <c r="V19" s="145" t="str">
        <f>INDEX('San Collection - Oversize'!$L$12:$AM$33, MATCH($B$19,'San Collection - Oversize'!$A$12:$A$33,0),MATCH(V3,'San Collection - Oversize'!$L$10:$AM$10,0))</f>
        <v/>
      </c>
      <c r="W19" s="145" t="str">
        <f>INDEX('San Collection - Oversize'!$L$12:$AM$33, MATCH($B$19,'San Collection - Oversize'!$A$12:$A$33,0),MATCH(W3,'San Collection - Oversize'!$L$10:$AM$10,0))</f>
        <v/>
      </c>
      <c r="X19" s="145" t="str">
        <f>INDEX('San Collection - Oversize'!$L$12:$AM$33, MATCH($B$19,'San Collection - Oversize'!$A$12:$A$33,0),MATCH(X3,'San Collection - Oversize'!$L$10:$AM$10,0))</f>
        <v/>
      </c>
      <c r="Y19" s="145" t="str">
        <f>INDEX('San Collection - Oversize'!$L$12:$AM$33, MATCH($B$19,'San Collection - Oversize'!$A$12:$A$33,0),MATCH(Y3,'San Collection - Oversize'!$L$10:$AM$10,0))</f>
        <v/>
      </c>
      <c r="Z19" s="145" t="str">
        <f>INDEX('San Collection - Oversize'!$L$12:$AM$33, MATCH($B$19,'San Collection - Oversize'!$A$12:$A$33,0),MATCH(Z3,'San Collection - Oversize'!$L$10:$AM$10,0))</f>
        <v/>
      </c>
      <c r="AA19" s="145" t="str">
        <f>INDEX('San Collection - Oversize'!$L$12:$AM$33, MATCH($B$19,'San Collection - Oversize'!$A$12:$A$33,0),MATCH(AA3,'San Collection - Oversize'!$L$10:$AM$10,0))</f>
        <v/>
      </c>
      <c r="AB19" s="145" t="str">
        <f>INDEX('San Collection - Oversize'!$L$12:$AM$33, MATCH($B$19,'San Collection - Oversize'!$A$12:$A$33,0),MATCH(AB3,'San Collection - Oversize'!$L$10:$AM$10,0))</f>
        <v/>
      </c>
      <c r="AC19" s="145" t="str">
        <f>INDEX('San Collection - Oversize'!$L$12:$AM$33, MATCH($B$19,'San Collection - Oversize'!$A$12:$A$33,0),MATCH(AC3,'San Collection - Oversize'!$L$10:$AM$10,0))</f>
        <v/>
      </c>
      <c r="AD19" s="145" t="str">
        <f>INDEX('San Collection - Oversize'!$L$12:$AM$33, MATCH($B$19,'San Collection - Oversize'!$A$12:$A$33,0),MATCH(AD3,'San Collection - Oversize'!$L$10:$AM$10,0))</f>
        <v/>
      </c>
      <c r="AE19" s="145" t="str">
        <f>INDEX('San Collection - Oversize'!$L$12:$AM$33, MATCH($B$19,'San Collection - Oversize'!$A$12:$A$33,0),MATCH(AE3,'San Collection - Oversize'!$L$10:$AM$10,0))</f>
        <v/>
      </c>
      <c r="AF19" s="690">
        <f>SUM(C19:AC19)</f>
        <v>132072.12772031248</v>
      </c>
    </row>
    <row r="20" spans="1:32">
      <c r="A20" s="631"/>
      <c r="B20" s="141"/>
      <c r="C20" s="125"/>
      <c r="D20" s="125"/>
      <c r="E20" s="125"/>
      <c r="F20" s="125"/>
      <c r="G20" s="125" cm="1">
        <f t="array" ref="G20">_xlfn.LET(_xlpm.x, G5-SUM($D$7:G7)-SUM($D$9:G9)-SUM($D$11:G11)-SUM($D$13:G13)-SUM($D$15:G15)-SUM($D$17:G17)-SUM($D$19:G19),IF(OR(_xlpm.x&lt;0, INDEX(F:F,ROW()-1)&lt;0), _xlpm.x, 0))</f>
        <v>-203809.24456648898</v>
      </c>
      <c r="H20" s="345" cm="1">
        <f t="array" ref="H20">_xlfn.LET(_xlpm.x, H5-SUM($D$7:H7)-SUM($D$9:H9)-SUM($D$11:H11)-SUM($D$13:H13)-SUM($D$15:H15)-SUM($D$17:H17)-SUM($D$19:H19),IF(OR(_xlpm.x&lt;0, INDEX(G:G,ROW()-1)&lt;0), _xlpm.x, 0))</f>
        <v>0</v>
      </c>
      <c r="I20" s="125" cm="1">
        <f t="array" ref="I20">_xlfn.LET(_xlpm.x, I5-SUM($D$7:I7)-SUM($D$9:I9)-SUM($D$11:I11)-SUM($D$13:I13)-SUM($D$15:I15)-SUM($D$17:I17)-SUM($D$19:I19),IF(OR(_xlpm.x&lt;0, INDEX(H:H,ROW()-1)&lt;0), _xlpm.x, 0))</f>
        <v>0</v>
      </c>
      <c r="J20" s="125" cm="1">
        <f t="array" ref="J20">_xlfn.LET(_xlpm.x, J5-SUM($D$7:J7)-SUM($D$9:J9)-SUM($D$11:J11)-SUM($D$13:J13)-SUM($D$15:J15)-SUM($D$17:J17)-SUM($D$19:J19),IF(OR(_xlpm.x&lt;0, INDEX(I:I,ROW()-1)&lt;0), _xlpm.x, 0))</f>
        <v>0</v>
      </c>
      <c r="K20" s="125" cm="1">
        <f t="array" ref="K20">_xlfn.LET(_xlpm.x, K5-SUM($D$7:K7)-SUM($D$9:K9)-SUM($D$11:K11)-SUM($D$13:K13)-SUM($D$15:K15)-SUM($D$17:K17)-SUM($D$19:K19),IF(OR(_xlpm.x&lt;0, INDEX(J:J,ROW()-1)&lt;0), _xlpm.x, 0))</f>
        <v>0</v>
      </c>
      <c r="L20" s="125" cm="1">
        <f t="array" ref="L20">_xlfn.LET(_xlpm.x, L5-SUM($D$7:L7)-SUM($D$9:L9)-SUM($D$11:L11)-SUM($D$13:L13)-SUM($D$15:L15)-SUM($D$17:L17)-SUM($D$19:L19),IF(OR(_xlpm.x&lt;0, INDEX(K:K,ROW()-1)&lt;0), _xlpm.x, 0))</f>
        <v>0</v>
      </c>
      <c r="M20" s="125" cm="1">
        <f t="array" ref="M20">_xlfn.LET(_xlpm.x, M5-SUM($D$7:M7)-SUM($D$9:M9)-SUM($D$11:M11)-SUM($D$13:M13)-SUM($D$15:M15)-SUM($D$17:M17)-SUM($D$19:M19),IF(OR(_xlpm.x&lt;0, INDEX(L:L,ROW()-1)&lt;0), _xlpm.x, 0))</f>
        <v>0</v>
      </c>
      <c r="N20" s="125" cm="1">
        <f t="array" ref="N20">_xlfn.LET(_xlpm.x, N5-SUM($D$7:N7)-SUM($D$9:N9)-SUM($D$11:N11)-SUM($D$13:N13)-SUM($D$15:N15)-SUM($D$17:N17)-SUM($D$19:N19),IF(OR(_xlpm.x&lt;0, INDEX(M:M,ROW()-1)&lt;0), _xlpm.x, 0))</f>
        <v>0</v>
      </c>
      <c r="O20" s="125" cm="1">
        <f t="array" ref="O20">_xlfn.LET(_xlpm.x, O5-SUM($D$7:O7)-SUM($D$9:O9)-SUM($D$11:O11)-SUM($D$13:O13)-SUM($D$15:O15)-SUM($D$17:O17)-SUM($D$19:O19),IF(OR(_xlpm.x&lt;0, INDEX(N:N,ROW()-1)&lt;0), _xlpm.x, 0))</f>
        <v>0</v>
      </c>
      <c r="P20" s="125" cm="1">
        <f t="array" ref="P20">_xlfn.LET(_xlpm.x, P5-SUM($D$7:P7)-SUM($D$9:P9)-SUM($D$11:P11)-SUM($D$13:P13)-SUM($D$15:P15)-SUM($D$17:P17)-SUM($D$19:P19),IF(OR(_xlpm.x&lt;0, INDEX(O:O,ROW()-1)&lt;0), _xlpm.x, 0))</f>
        <v>0</v>
      </c>
      <c r="Q20" s="125"/>
      <c r="R20" s="125"/>
      <c r="S20" s="125"/>
      <c r="T20" s="125"/>
      <c r="U20" s="125"/>
      <c r="V20" s="125"/>
      <c r="W20" s="125"/>
      <c r="X20" s="125"/>
      <c r="Y20" s="125"/>
      <c r="Z20" s="125"/>
      <c r="AA20" s="125"/>
      <c r="AB20" s="125"/>
      <c r="AC20" s="125"/>
      <c r="AD20" s="125"/>
      <c r="AE20" s="125"/>
    </row>
    <row r="21" spans="1:32">
      <c r="A21" s="144" t="s">
        <v>279</v>
      </c>
      <c r="B21" s="144">
        <v>65</v>
      </c>
      <c r="C21" s="145" t="s">
        <v>118</v>
      </c>
      <c r="D21" s="145" t="str">
        <f>INDEX('San Collection - Oversize'!$L$12:$AM$33, MATCH($B$21,'San Collection - Oversize'!$A$12:$A$33,0),MATCH(D3,'San Collection - Oversize'!$L$10:$AM$10,0))</f>
        <v/>
      </c>
      <c r="E21" s="145" t="str">
        <f>INDEX('San Collection - Oversize'!$L$12:$AM$33, MATCH($B$21,'San Collection - Oversize'!$A$12:$A$33,0),MATCH(E3,'San Collection - Oversize'!$L$10:$AM$10,0))</f>
        <v/>
      </c>
      <c r="F21" s="145" t="str">
        <f>INDEX('San Collection - Oversize'!$L$12:$AM$33, MATCH($B$21,'San Collection - Oversize'!$A$12:$A$33,0),MATCH(F3,'San Collection - Oversize'!$L$10:$AM$10,0))</f>
        <v/>
      </c>
      <c r="G21" s="145">
        <f>INDEX('San Collection - Oversize'!$L$12:$AM$33, MATCH($B$21,'San Collection - Oversize'!$A$12:$A$33,0),MATCH(G3,'San Collection - Oversize'!$L$10:$AM$10,0))</f>
        <v>118055.21165624999</v>
      </c>
      <c r="H21" s="145">
        <f>INDEX('San Collection - Oversize'!$L$12:$AM$33, MATCH($B$21,'San Collection - Oversize'!$A$12:$A$33,0),MATCH(H3,'San Collection - Oversize'!$L$10:$AM$10,0))</f>
        <v>121006.59194765623</v>
      </c>
      <c r="I21" s="145" t="str">
        <f>INDEX('San Collection - Oversize'!$L$12:$AM$33, MATCH($B$21,'San Collection - Oversize'!$A$12:$A$33,0),MATCH(I3,'San Collection - Oversize'!$L$10:$AM$10,0))</f>
        <v/>
      </c>
      <c r="J21" s="145" t="str">
        <f>INDEX('San Collection - Oversize'!$L$12:$AM$33, MATCH($B$21,'San Collection - Oversize'!$A$12:$A$33,0),MATCH(J3,'San Collection - Oversize'!$L$10:$AM$10,0))</f>
        <v/>
      </c>
      <c r="K21" s="145" t="str">
        <f>INDEX('San Collection - Oversize'!$L$12:$AM$33, MATCH($B$21,'San Collection - Oversize'!$A$12:$A$33,0),MATCH(K3,'San Collection - Oversize'!$L$10:$AM$10,0))</f>
        <v/>
      </c>
      <c r="L21" s="145" t="str">
        <f>INDEX('San Collection - Oversize'!$L$12:$AM$33, MATCH($B$21,'San Collection - Oversize'!$A$12:$A$33,0),MATCH(L3,'San Collection - Oversize'!$L$10:$AM$10,0))</f>
        <v/>
      </c>
      <c r="M21" s="145" t="str">
        <f>INDEX('San Collection - Oversize'!$L$12:$AM$33, MATCH($B$21,'San Collection - Oversize'!$A$12:$A$33,0),MATCH(M3,'San Collection - Oversize'!$L$10:$AM$10,0))</f>
        <v/>
      </c>
      <c r="N21" s="145" t="str">
        <f>INDEX('San Collection - Oversize'!$L$12:$AM$33, MATCH($B$21,'San Collection - Oversize'!$A$12:$A$33,0),MATCH(N3,'San Collection - Oversize'!$L$10:$AM$10,0))</f>
        <v/>
      </c>
      <c r="O21" s="145" t="str">
        <f>INDEX('San Collection - Oversize'!$L$12:$AM$33, MATCH($B$21,'San Collection - Oversize'!$A$12:$A$33,0),MATCH(O3,'San Collection - Oversize'!$L$10:$AM$10,0))</f>
        <v/>
      </c>
      <c r="P21" s="145" t="str">
        <f>INDEX('San Collection - Oversize'!$L$12:$AM$33, MATCH($B$21,'San Collection - Oversize'!$A$12:$A$33,0),MATCH(P3,'San Collection - Oversize'!$L$10:$AM$10,0))</f>
        <v/>
      </c>
      <c r="Q21" s="145" t="str">
        <f>INDEX('San Collection - Oversize'!$L$12:$AM$33, MATCH($B$21,'San Collection - Oversize'!$A$12:$A$33,0),MATCH(Q3,'San Collection - Oversize'!$L$10:$AM$10,0))</f>
        <v/>
      </c>
      <c r="R21" s="145" t="str">
        <f>INDEX('San Collection - Oversize'!$L$12:$AM$33, MATCH($B$21,'San Collection - Oversize'!$A$12:$A$33,0),MATCH(R3,'San Collection - Oversize'!$L$10:$AM$10,0))</f>
        <v/>
      </c>
      <c r="S21" s="145" t="str">
        <f>INDEX('San Collection - Oversize'!$L$12:$AM$33, MATCH($B$21,'San Collection - Oversize'!$A$12:$A$33,0),MATCH(S3,'San Collection - Oversize'!$L$10:$AM$10,0))</f>
        <v/>
      </c>
      <c r="T21" s="145" t="str">
        <f>INDEX('San Collection - Oversize'!$L$12:$AM$33, MATCH($B$21,'San Collection - Oversize'!$A$12:$A$33,0),MATCH(T3,'San Collection - Oversize'!$L$10:$AM$10,0))</f>
        <v/>
      </c>
      <c r="U21" s="145" t="str">
        <f>INDEX('San Collection - Oversize'!$L$12:$AM$33, MATCH($B$21,'San Collection - Oversize'!$A$12:$A$33,0),MATCH(U3,'San Collection - Oversize'!$L$10:$AM$10,0))</f>
        <v/>
      </c>
      <c r="V21" s="145" t="str">
        <f>INDEX('San Collection - Oversize'!$L$12:$AM$33, MATCH($B$21,'San Collection - Oversize'!$A$12:$A$33,0),MATCH(V3,'San Collection - Oversize'!$L$10:$AM$10,0))</f>
        <v/>
      </c>
      <c r="W21" s="145" t="str">
        <f>INDEX('San Collection - Oversize'!$L$12:$AM$33, MATCH($B$21,'San Collection - Oversize'!$A$12:$A$33,0),MATCH(W3,'San Collection - Oversize'!$L$10:$AM$10,0))</f>
        <v/>
      </c>
      <c r="X21" s="145" t="str">
        <f>INDEX('San Collection - Oversize'!$L$12:$AM$33, MATCH($B$21,'San Collection - Oversize'!$A$12:$A$33,0),MATCH(X3,'San Collection - Oversize'!$L$10:$AM$10,0))</f>
        <v/>
      </c>
      <c r="Y21" s="145" t="str">
        <f>INDEX('San Collection - Oversize'!$L$12:$AM$33, MATCH($B$21,'San Collection - Oversize'!$A$12:$A$33,0),MATCH(Y3,'San Collection - Oversize'!$L$10:$AM$10,0))</f>
        <v/>
      </c>
      <c r="Z21" s="145" t="str">
        <f>INDEX('San Collection - Oversize'!$L$12:$AM$33, MATCH($B$21,'San Collection - Oversize'!$A$12:$A$33,0),MATCH(Z3,'San Collection - Oversize'!$L$10:$AM$10,0))</f>
        <v/>
      </c>
      <c r="AA21" s="145" t="str">
        <f>INDEX('San Collection - Oversize'!$L$12:$AM$33, MATCH($B$21,'San Collection - Oversize'!$A$12:$A$33,0),MATCH(AA3,'San Collection - Oversize'!$L$10:$AM$10,0))</f>
        <v/>
      </c>
      <c r="AB21" s="145" t="str">
        <f>INDEX('San Collection - Oversize'!$L$12:$AM$33, MATCH($B$21,'San Collection - Oversize'!$A$12:$A$33,0),MATCH(AB3,'San Collection - Oversize'!$L$10:$AM$10,0))</f>
        <v/>
      </c>
      <c r="AC21" s="145" t="str">
        <f>INDEX('San Collection - Oversize'!$L$12:$AM$33, MATCH($B$21,'San Collection - Oversize'!$A$12:$A$33,0),MATCH(AC3,'San Collection - Oversize'!$L$10:$AM$10,0))</f>
        <v/>
      </c>
      <c r="AD21" s="145" t="str">
        <f>INDEX('San Collection - Oversize'!$L$12:$AM$33, MATCH($B$21,'San Collection - Oversize'!$A$12:$A$33,0),MATCH(AD3,'San Collection - Oversize'!$L$10:$AM$10,0))</f>
        <v/>
      </c>
      <c r="AE21" s="145" t="str">
        <f>INDEX('San Collection - Oversize'!$L$12:$AM$33, MATCH($B$21,'San Collection - Oversize'!$A$12:$A$33,0),MATCH(AE3,'San Collection - Oversize'!$L$10:$AM$10,0))</f>
        <v/>
      </c>
      <c r="AF21" s="690">
        <f>SUM(C21:AC21)</f>
        <v>239061.80360390621</v>
      </c>
    </row>
    <row r="22" spans="1:32">
      <c r="A22" s="631"/>
      <c r="B22" s="141"/>
      <c r="C22" s="125"/>
      <c r="D22" s="125"/>
      <c r="E22" s="125"/>
      <c r="F22" s="125"/>
      <c r="G22" s="125" cm="1">
        <f t="array" ref="G22">_xlfn.LET(_xlpm.x, G5-SUM($D$7:G7)-SUM($D$9:G9)-SUM($D$11:G11)-SUM($D$13:G13)-SUM($D$15:G15)-SUM($D$17:G17)-SUM($D$19:G19)-SUM($D$21:G21),IF(OR(_xlpm.x&lt;0, INDEX(F:F,ROW()-1)&lt;0), _xlpm.x, 0))</f>
        <v>-321864.45622273895</v>
      </c>
      <c r="H22" s="125" cm="1">
        <f t="array" ref="H22">_xlfn.LET(_xlpm.x, H5-SUM($D$7:H7)-SUM($D$9:H9)-SUM($D$11:H11)-SUM($D$13:H13)-SUM($D$15:H15)-SUM($D$17:H17)-SUM($D$19:H19)-SUM($D$21:H21),IF(OR(_xlpm.x&lt;0, INDEX(G:G,ROW()-1)&lt;0), _xlpm.x, 0))</f>
        <v>-237908.73531953234</v>
      </c>
      <c r="I22" s="345" cm="1">
        <f t="array" ref="I22">_xlfn.LET(_xlpm.x, I5-SUM($D$7:I7)-SUM($D$9:I9)-SUM($D$11:I11)-SUM($D$13:I13)-SUM($D$15:I15)-SUM($D$17:I17)-SUM($D$19:I19)-SUM($D$21:I21),IF(OR(_xlpm.x&lt;0, INDEX(H:H,ROW()-1)&lt;0), _xlpm.x, 0))</f>
        <v>0</v>
      </c>
      <c r="J22" s="125" cm="1">
        <f t="array" ref="J22">_xlfn.LET(_xlpm.x, J5-SUM($D$7:J7)-SUM($D$9:J9)-SUM($D$11:J11)-SUM($D$13:J13)-SUM($D$15:J15)-SUM($D$17:J17)-SUM($D$19:J19)-SUM($D$21:J21),IF(OR(_xlpm.x&lt;0, INDEX(I:I,ROW()-1)&lt;0), _xlpm.x, 0))</f>
        <v>0</v>
      </c>
      <c r="K22" s="125" cm="1">
        <f t="array" ref="K22">_xlfn.LET(_xlpm.x, K5-SUM($D$7:K7)-SUM($D$9:K9)-SUM($D$11:K11)-SUM($D$13:K13)-SUM($D$15:K15)-SUM($D$17:K17)-SUM($D$19:K19)-SUM($D$21:K21),IF(OR(_xlpm.x&lt;0, INDEX(J:J,ROW()-1)&lt;0), _xlpm.x, 0))</f>
        <v>0</v>
      </c>
      <c r="L22" s="125" cm="1">
        <f t="array" ref="L22">_xlfn.LET(_xlpm.x, L5-SUM($D$7:L7)-SUM($D$9:L9)-SUM($D$11:L11)-SUM($D$13:L13)-SUM($D$15:L15)-SUM($D$17:L17)-SUM($D$19:L19)-SUM($D$21:L21),IF(OR(_xlpm.x&lt;0, INDEX(K:K,ROW()-1)&lt;0), _xlpm.x, 0))</f>
        <v>0</v>
      </c>
      <c r="M22" s="125" cm="1">
        <f t="array" ref="M22">_xlfn.LET(_xlpm.x, M5-SUM($D$7:M7)-SUM($D$9:M9)-SUM($D$11:M11)-SUM($D$13:M13)-SUM($D$15:M15)-SUM($D$17:M17)-SUM($D$19:M19)-SUM($D$21:M21),IF(OR(_xlpm.x&lt;0, INDEX(L:L,ROW()-1)&lt;0), _xlpm.x, 0))</f>
        <v>0</v>
      </c>
      <c r="N22" s="125" cm="1">
        <f t="array" ref="N22">_xlfn.LET(_xlpm.x, N5-SUM($D$7:N7)-SUM($D$9:N9)-SUM($D$11:N11)-SUM($D$13:N13)-SUM($D$15:N15)-SUM($D$17:N17)-SUM($D$19:N19)-SUM($D$21:N21),IF(OR(_xlpm.x&lt;0, INDEX(M:M,ROW()-1)&lt;0), _xlpm.x, 0))</f>
        <v>0</v>
      </c>
      <c r="O22" s="125" cm="1">
        <f t="array" ref="O22">_xlfn.LET(_xlpm.x, O5-SUM($D$7:O7)-SUM($D$9:O9)-SUM($D$11:O11)-SUM($D$13:O13)-SUM($D$15:O15)-SUM($D$17:O17)-SUM($D$19:O19)-SUM($D$21:O21),IF(OR(_xlpm.x&lt;0, INDEX(N:N,ROW()-1)&lt;0), _xlpm.x, 0))</f>
        <v>0</v>
      </c>
      <c r="P22" s="125" cm="1">
        <f t="array" ref="P22">_xlfn.LET(_xlpm.x, P5-SUM($D$7:P7)-SUM($D$9:P9)-SUM($D$11:P11)-SUM($D$13:P13)-SUM($D$15:P15)-SUM($D$17:P17)-SUM($D$19:P19)-SUM($D$21:P21),IF(OR(_xlpm.x&lt;0, INDEX(O:O,ROW()-1)&lt;0), _xlpm.x, 0))</f>
        <v>0</v>
      </c>
      <c r="Q22" s="125"/>
      <c r="R22" s="125"/>
      <c r="S22" s="125"/>
      <c r="T22" s="125"/>
      <c r="U22" s="125"/>
      <c r="V22" s="125"/>
      <c r="W22" s="125"/>
      <c r="X22" s="125"/>
      <c r="Y22" s="125"/>
      <c r="Z22" s="125"/>
      <c r="AA22" s="125"/>
      <c r="AB22" s="125"/>
      <c r="AC22" s="125"/>
      <c r="AD22" s="125"/>
      <c r="AE22" s="125"/>
    </row>
    <row r="23" spans="1:32">
      <c r="A23" s="144" t="s">
        <v>279</v>
      </c>
      <c r="B23" s="144" t="s">
        <v>61</v>
      </c>
      <c r="C23" s="145" t="s">
        <v>118</v>
      </c>
      <c r="D23" s="145" t="str">
        <f>INDEX('San Collection - Oversize'!$L$12:$AM$33, MATCH($B$23,'San Collection - Oversize'!$A$12:$A$33,0),MATCH(D3,'San Collection - Oversize'!$L$10:$AM$10,0))</f>
        <v/>
      </c>
      <c r="E23" s="145" t="str">
        <f>INDEX('San Collection - Oversize'!$L$12:$AM$33, MATCH($B$23,'San Collection - Oversize'!$A$12:$A$33,0),MATCH(E3,'San Collection - Oversize'!$L$10:$AM$10,0))</f>
        <v/>
      </c>
      <c r="F23" s="145" t="str">
        <f>INDEX('San Collection - Oversize'!$L$12:$AM$33, MATCH($B$23,'San Collection - Oversize'!$A$12:$A$33,0),MATCH(F3,'San Collection - Oversize'!$L$10:$AM$10,0))</f>
        <v/>
      </c>
      <c r="G23" s="145" t="str">
        <f>INDEX('San Collection - Oversize'!$L$12:$AM$33, MATCH($B$23,'San Collection - Oversize'!$A$12:$A$33,0),MATCH(G3,'San Collection - Oversize'!$L$10:$AM$10,0))</f>
        <v/>
      </c>
      <c r="H23" s="145">
        <f>INDEX('San Collection - Oversize'!$L$12:$AM$33, MATCH($B$23,'San Collection - Oversize'!$A$12:$A$33,0),MATCH(H3,'San Collection - Oversize'!$L$10:$AM$10,0))</f>
        <v>45022.320182812487</v>
      </c>
      <c r="I23" s="145">
        <f>INDEX('San Collection - Oversize'!$L$12:$AM$33, MATCH($B$23,'San Collection - Oversize'!$A$12:$A$33,0),MATCH(I3,'San Collection - Oversize'!$L$10:$AM$10,0))</f>
        <v>46147.878187382797</v>
      </c>
      <c r="J23" s="145" t="str">
        <f>INDEX('San Collection - Oversize'!$L$12:$AM$33, MATCH($B$23,'San Collection - Oversize'!$A$12:$A$33,0),MATCH(J3,'San Collection - Oversize'!$L$10:$AM$10,0))</f>
        <v/>
      </c>
      <c r="K23" s="145" t="str">
        <f>INDEX('San Collection - Oversize'!$L$12:$AM$33, MATCH($B$23,'San Collection - Oversize'!$A$12:$A$33,0),MATCH(K3,'San Collection - Oversize'!$L$10:$AM$10,0))</f>
        <v/>
      </c>
      <c r="L23" s="145" t="str">
        <f>INDEX('San Collection - Oversize'!$L$12:$AM$33, MATCH($B$23,'San Collection - Oversize'!$A$12:$A$33,0),MATCH(L3,'San Collection - Oversize'!$L$10:$AM$10,0))</f>
        <v/>
      </c>
      <c r="M23" s="145" t="str">
        <f>INDEX('San Collection - Oversize'!$L$12:$AM$33, MATCH($B$23,'San Collection - Oversize'!$A$12:$A$33,0),MATCH(M3,'San Collection - Oversize'!$L$10:$AM$10,0))</f>
        <v/>
      </c>
      <c r="N23" s="145" t="str">
        <f>INDEX('San Collection - Oversize'!$L$12:$AM$33, MATCH($B$23,'San Collection - Oversize'!$A$12:$A$33,0),MATCH(N3,'San Collection - Oversize'!$L$10:$AM$10,0))</f>
        <v/>
      </c>
      <c r="O23" s="145" t="str">
        <f>INDEX('San Collection - Oversize'!$L$12:$AM$33, MATCH($B$23,'San Collection - Oversize'!$A$12:$A$33,0),MATCH(O3,'San Collection - Oversize'!$L$10:$AM$10,0))</f>
        <v/>
      </c>
      <c r="P23" s="145" t="str">
        <f>INDEX('San Collection - Oversize'!$L$12:$AM$33, MATCH($B$23,'San Collection - Oversize'!$A$12:$A$33,0),MATCH(P3,'San Collection - Oversize'!$L$10:$AM$10,0))</f>
        <v/>
      </c>
      <c r="Q23" s="145" t="str">
        <f>INDEX('San Collection - Oversize'!$L$12:$AM$33, MATCH($B$23,'San Collection - Oversize'!$A$12:$A$33,0),MATCH(Q3,'San Collection - Oversize'!$L$10:$AM$10,0))</f>
        <v/>
      </c>
      <c r="R23" s="145" t="str">
        <f>INDEX('San Collection - Oversize'!$L$12:$AM$33, MATCH($B$23,'San Collection - Oversize'!$A$12:$A$33,0),MATCH(R3,'San Collection - Oversize'!$L$10:$AM$10,0))</f>
        <v/>
      </c>
      <c r="S23" s="145" t="str">
        <f>INDEX('San Collection - Oversize'!$L$12:$AM$33, MATCH($B$23,'San Collection - Oversize'!$A$12:$A$33,0),MATCH(S3,'San Collection - Oversize'!$L$10:$AM$10,0))</f>
        <v/>
      </c>
      <c r="T23" s="145" t="str">
        <f>INDEX('San Collection - Oversize'!$L$12:$AM$33, MATCH($B$23,'San Collection - Oversize'!$A$12:$A$33,0),MATCH(T3,'San Collection - Oversize'!$L$10:$AM$10,0))</f>
        <v/>
      </c>
      <c r="U23" s="145" t="str">
        <f>INDEX('San Collection - Oversize'!$L$12:$AM$33, MATCH($B$23,'San Collection - Oversize'!$A$12:$A$33,0),MATCH(U3,'San Collection - Oversize'!$L$10:$AM$10,0))</f>
        <v/>
      </c>
      <c r="V23" s="145" t="str">
        <f>INDEX('San Collection - Oversize'!$L$12:$AM$33, MATCH($B$23,'San Collection - Oversize'!$A$12:$A$33,0),MATCH(V3,'San Collection - Oversize'!$L$10:$AM$10,0))</f>
        <v/>
      </c>
      <c r="W23" s="145" t="str">
        <f>INDEX('San Collection - Oversize'!$L$12:$AM$33, MATCH($B$23,'San Collection - Oversize'!$A$12:$A$33,0),MATCH(W3,'San Collection - Oversize'!$L$10:$AM$10,0))</f>
        <v/>
      </c>
      <c r="X23" s="145" t="str">
        <f>INDEX('San Collection - Oversize'!$L$12:$AM$33, MATCH($B$23,'San Collection - Oversize'!$A$12:$A$33,0),MATCH(X3,'San Collection - Oversize'!$L$10:$AM$10,0))</f>
        <v/>
      </c>
      <c r="Y23" s="145" t="str">
        <f>INDEX('San Collection - Oversize'!$L$12:$AM$33, MATCH($B$23,'San Collection - Oversize'!$A$12:$A$33,0),MATCH(Y3,'San Collection - Oversize'!$L$10:$AM$10,0))</f>
        <v/>
      </c>
      <c r="Z23" s="145" t="str">
        <f>INDEX('San Collection - Oversize'!$L$12:$AM$33, MATCH($B$23,'San Collection - Oversize'!$A$12:$A$33,0),MATCH(Z3,'San Collection - Oversize'!$L$10:$AM$10,0))</f>
        <v/>
      </c>
      <c r="AA23" s="145" t="str">
        <f>INDEX('San Collection - Oversize'!$L$12:$AM$33, MATCH($B$23,'San Collection - Oversize'!$A$12:$A$33,0),MATCH(AA3,'San Collection - Oversize'!$L$10:$AM$10,0))</f>
        <v/>
      </c>
      <c r="AB23" s="145" t="str">
        <f>INDEX('San Collection - Oversize'!$L$12:$AM$33, MATCH($B$23,'San Collection - Oversize'!$A$12:$A$33,0),MATCH(AB3,'San Collection - Oversize'!$L$10:$AM$10,0))</f>
        <v/>
      </c>
      <c r="AC23" s="145" t="str">
        <f>INDEX('San Collection - Oversize'!$L$12:$AM$33, MATCH($B$23,'San Collection - Oversize'!$A$12:$A$33,0),MATCH(AC3,'San Collection - Oversize'!$L$10:$AM$10,0))</f>
        <v/>
      </c>
      <c r="AD23" s="145" t="str">
        <f>INDEX('San Collection - Oversize'!$L$12:$AM$33, MATCH($B$23,'San Collection - Oversize'!$A$12:$A$33,0),MATCH(AD3,'San Collection - Oversize'!$L$10:$AM$10,0))</f>
        <v/>
      </c>
      <c r="AE23" s="145" t="str">
        <f>INDEX('San Collection - Oversize'!$L$12:$AM$33, MATCH($B$23,'San Collection - Oversize'!$A$12:$A$33,0),MATCH(AE3,'San Collection - Oversize'!$L$10:$AM$10,0))</f>
        <v/>
      </c>
      <c r="AF23" s="690">
        <f>SUM(C23:AC23)</f>
        <v>91170.198370195285</v>
      </c>
    </row>
    <row r="24" spans="1:32">
      <c r="A24" s="631"/>
      <c r="B24" s="141"/>
      <c r="C24" s="125"/>
      <c r="D24" s="125"/>
      <c r="E24" s="125"/>
      <c r="F24" s="125"/>
      <c r="G24" s="125"/>
      <c r="H24" s="125" cm="1">
        <f t="array" ref="H24">_xlfn.LET(_xlpm.x, H5-SUM($D$7:H7)-SUM($D$9:H9)-SUM($D$11:H11)-SUM($D$13:H13)-SUM($D$15:H15)-SUM($D$17:H17)-SUM($D$19:H19)-SUM($D$21:H21)-SUM($D$23:H23),IF(OR(_xlpm.x&lt;0, INDEX(G:G,ROW()-1)&lt;0), _xlpm.x, 0))</f>
        <v>-282931.05550234485</v>
      </c>
      <c r="I24" s="345" cm="1">
        <f t="array" ref="I24">_xlfn.LET(_xlpm.x, I5-SUM($D$7:I7)-SUM($D$9:I9)-SUM($D$11:I11)-SUM($D$13:I13)-SUM($D$15:I15)-SUM($D$17:I17)-SUM($D$19:I19)-SUM($D$21:I21)-SUM($D$23:I23),IF(OR(_xlpm.x&lt;0, INDEX(H:H,ROW()-1)&lt;0), _xlpm.x, 0))</f>
        <v>0</v>
      </c>
      <c r="J24" s="125" cm="1">
        <f t="array" ref="J24">_xlfn.LET(_xlpm.x, J5-SUM($D$7:J7)-SUM($D$9:J9)-SUM($D$11:J11)-SUM($D$13:J13)-SUM($D$15:J15)-SUM($D$17:J17)-SUM($D$19:J19)-SUM($D$21:J21)-SUM($D$23:J23),IF(OR(_xlpm.x&lt;0, INDEX(I:I,ROW()-1)&lt;0), _xlpm.x, 0))</f>
        <v>0</v>
      </c>
      <c r="K24" s="125" cm="1">
        <f t="array" ref="K24">_xlfn.LET(_xlpm.x, K5-SUM($D$7:K7)-SUM($D$9:K9)-SUM($D$11:K11)-SUM($D$13:K13)-SUM($D$15:K15)-SUM($D$17:K17)-SUM($D$19:K19)-SUM($D$21:K21)-SUM($D$23:K23),IF(OR(_xlpm.x&lt;0, INDEX(J:J,ROW()-1)&lt;0), _xlpm.x, 0))</f>
        <v>0</v>
      </c>
      <c r="L24" s="125" cm="1">
        <f t="array" ref="L24">_xlfn.LET(_xlpm.x, L5-SUM($D$7:L7)-SUM($D$9:L9)-SUM($D$11:L11)-SUM($D$13:L13)-SUM($D$15:L15)-SUM($D$17:L17)-SUM($D$19:L19)-SUM($D$21:L21)-SUM($D$23:L23),IF(OR(_xlpm.x&lt;0, INDEX(K:K,ROW()-1)&lt;0), _xlpm.x, 0))</f>
        <v>0</v>
      </c>
      <c r="M24" s="125" cm="1">
        <f t="array" ref="M24">_xlfn.LET(_xlpm.x, M5-SUM($D$7:M7)-SUM($D$9:M9)-SUM($D$11:M11)-SUM($D$13:M13)-SUM($D$15:M15)-SUM($D$17:M17)-SUM($D$19:M19)-SUM($D$21:M21)-SUM($D$23:M23),IF(OR(_xlpm.x&lt;0, INDEX(L:L,ROW()-1)&lt;0), _xlpm.x, 0))</f>
        <v>0</v>
      </c>
      <c r="N24" s="125" cm="1">
        <f t="array" ref="N24">_xlfn.LET(_xlpm.x, N5-SUM($D$7:N7)-SUM($D$9:N9)-SUM($D$11:N11)-SUM($D$13:N13)-SUM($D$15:N15)-SUM($D$17:N17)-SUM($D$19:N19)-SUM($D$21:N21)-SUM($D$23:N23),IF(OR(_xlpm.x&lt;0, INDEX(M:M,ROW()-1)&lt;0), _xlpm.x, 0))</f>
        <v>0</v>
      </c>
      <c r="O24" s="125" cm="1">
        <f t="array" ref="O24">_xlfn.LET(_xlpm.x, O5-SUM($D$7:O7)-SUM($D$9:O9)-SUM($D$11:O11)-SUM($D$13:O13)-SUM($D$15:O15)-SUM($D$17:O17)-SUM($D$19:O19)-SUM($D$21:O21)-SUM($D$23:O23),IF(OR(_xlpm.x&lt;0, INDEX(N:N,ROW()-1)&lt;0), _xlpm.x, 0))</f>
        <v>0</v>
      </c>
      <c r="P24" s="125" cm="1">
        <f t="array" ref="P24">_xlfn.LET(_xlpm.x, P5-SUM($D$7:P7)-SUM($D$9:P9)-SUM($D$11:P11)-SUM($D$13:P13)-SUM($D$15:P15)-SUM($D$17:P17)-SUM($D$19:P19)-SUM($D$21:P21)-SUM($D$23:P23),IF(OR(_xlpm.x&lt;0, INDEX(O:O,ROW()-1)&lt;0), _xlpm.x, 0))</f>
        <v>0</v>
      </c>
      <c r="Q24" s="125" cm="1">
        <f t="array" ref="Q24">_xlfn.LET(_xlpm.x, Q5-SUM($D$7:Q7)-SUM($D$9:Q9)-SUM($D$11:Q11)-SUM($D$13:Q13)-SUM($D$15:Q15)-SUM($D$17:Q17)-SUM($D$19:Q19)-SUM($D$21:Q21)-SUM($D$23:Q23),IF(OR(_xlpm.x&lt;0, INDEX(P:P,ROW()-1)&lt;0), _xlpm.x, 0))</f>
        <v>0</v>
      </c>
      <c r="R24" s="125"/>
      <c r="S24" s="125"/>
      <c r="T24" s="125"/>
      <c r="U24" s="125"/>
      <c r="V24" s="125"/>
      <c r="W24" s="125"/>
      <c r="X24" s="125"/>
      <c r="Y24" s="125"/>
      <c r="Z24" s="125"/>
      <c r="AA24" s="125"/>
      <c r="AB24" s="125"/>
      <c r="AC24" s="125"/>
      <c r="AD24" s="125"/>
      <c r="AE24" s="125"/>
    </row>
    <row r="25" spans="1:32">
      <c r="A25" s="144" t="s">
        <v>279</v>
      </c>
      <c r="B25" s="144">
        <v>55</v>
      </c>
      <c r="C25" s="145" t="s">
        <v>118</v>
      </c>
      <c r="D25" s="145" t="str">
        <f>INDEX('San Collection - Oversize'!$L$12:$AM$33, MATCH($B$25,'San Collection - Oversize'!$A$12:$A$33,0),MATCH(D3,'San Collection - Oversize'!$L$10:$AM$10,0))</f>
        <v/>
      </c>
      <c r="E25" s="145" t="str">
        <f>INDEX('San Collection - Oversize'!$L$12:$AM$33, MATCH($B$25,'San Collection - Oversize'!$A$12:$A$33,0),MATCH(E3,'San Collection - Oversize'!$L$10:$AM$10,0))</f>
        <v/>
      </c>
      <c r="F25" s="145" t="str">
        <f>INDEX('San Collection - Oversize'!$L$12:$AM$33, MATCH($B$25,'San Collection - Oversize'!$A$12:$A$33,0),MATCH(F3,'San Collection - Oversize'!$L$10:$AM$10,0))</f>
        <v/>
      </c>
      <c r="G25" s="145" t="str">
        <f>INDEX('San Collection - Oversize'!$L$12:$AM$33, MATCH($B$25,'San Collection - Oversize'!$A$12:$A$33,0),MATCH(G3,'San Collection - Oversize'!$L$10:$AM$10,0))</f>
        <v/>
      </c>
      <c r="H25" s="145">
        <f>INDEX('San Collection - Oversize'!$L$12:$AM$33, MATCH($B$25,'San Collection - Oversize'!$A$12:$A$33,0),MATCH(H3,'San Collection - Oversize'!$L$10:$AM$10,0))</f>
        <v>52983.018749999988</v>
      </c>
      <c r="I25" s="145">
        <f>INDEX('San Collection - Oversize'!$L$12:$AM$33, MATCH($B$25,'San Collection - Oversize'!$A$12:$A$33,0),MATCH(I3,'San Collection - Oversize'!$L$10:$AM$10,0))</f>
        <v>54307.594218749982</v>
      </c>
      <c r="J25" s="145" t="str">
        <f>INDEX('San Collection - Oversize'!$L$12:$AM$33, MATCH($B$25,'San Collection - Oversize'!$A$12:$A$33,0),MATCH(J3,'San Collection - Oversize'!$L$10:$AM$10,0))</f>
        <v/>
      </c>
      <c r="K25" s="145" t="str">
        <f>INDEX('San Collection - Oversize'!$L$12:$AM$33, MATCH($B$25,'San Collection - Oversize'!$A$12:$A$33,0),MATCH(K3,'San Collection - Oversize'!$L$10:$AM$10,0))</f>
        <v/>
      </c>
      <c r="L25" s="145" t="str">
        <f>INDEX('San Collection - Oversize'!$L$12:$AM$33, MATCH($B$25,'San Collection - Oversize'!$A$12:$A$33,0),MATCH(L3,'San Collection - Oversize'!$L$10:$AM$10,0))</f>
        <v/>
      </c>
      <c r="M25" s="145" t="str">
        <f>INDEX('San Collection - Oversize'!$L$12:$AM$33, MATCH($B$25,'San Collection - Oversize'!$A$12:$A$33,0),MATCH(M3,'San Collection - Oversize'!$L$10:$AM$10,0))</f>
        <v/>
      </c>
      <c r="N25" s="145" t="str">
        <f>INDEX('San Collection - Oversize'!$L$12:$AM$33, MATCH($B$25,'San Collection - Oversize'!$A$12:$A$33,0),MATCH(N3,'San Collection - Oversize'!$L$10:$AM$10,0))</f>
        <v/>
      </c>
      <c r="O25" s="145" t="str">
        <f>INDEX('San Collection - Oversize'!$L$12:$AM$33, MATCH($B$25,'San Collection - Oversize'!$A$12:$A$33,0),MATCH(O3,'San Collection - Oversize'!$L$10:$AM$10,0))</f>
        <v/>
      </c>
      <c r="P25" s="145" t="str">
        <f>INDEX('San Collection - Oversize'!$L$12:$AM$33, MATCH($B$25,'San Collection - Oversize'!$A$12:$A$33,0),MATCH(P3,'San Collection - Oversize'!$L$10:$AM$10,0))</f>
        <v/>
      </c>
      <c r="Q25" s="145" t="str">
        <f>INDEX('San Collection - Oversize'!$L$12:$AM$33, MATCH($B$25,'San Collection - Oversize'!$A$12:$A$33,0),MATCH(Q3,'San Collection - Oversize'!$L$10:$AM$10,0))</f>
        <v/>
      </c>
      <c r="R25" s="145" t="str">
        <f>INDEX('San Collection - Oversize'!$L$12:$AM$33, MATCH($B$25,'San Collection - Oversize'!$A$12:$A$33,0),MATCH(R3,'San Collection - Oversize'!$L$10:$AM$10,0))</f>
        <v/>
      </c>
      <c r="S25" s="145" t="str">
        <f>INDEX('San Collection - Oversize'!$L$12:$AM$33, MATCH($B$25,'San Collection - Oversize'!$A$12:$A$33,0),MATCH(S3,'San Collection - Oversize'!$L$10:$AM$10,0))</f>
        <v/>
      </c>
      <c r="T25" s="145" t="str">
        <f>INDEX('San Collection - Oversize'!$L$12:$AM$33, MATCH($B$25,'San Collection - Oversize'!$A$12:$A$33,0),MATCH(T3,'San Collection - Oversize'!$L$10:$AM$10,0))</f>
        <v/>
      </c>
      <c r="U25" s="145" t="str">
        <f>INDEX('San Collection - Oversize'!$L$12:$AM$33, MATCH($B$25,'San Collection - Oversize'!$A$12:$A$33,0),MATCH(U3,'San Collection - Oversize'!$L$10:$AM$10,0))</f>
        <v/>
      </c>
      <c r="V25" s="145" t="str">
        <f>INDEX('San Collection - Oversize'!$L$12:$AM$33, MATCH($B$25,'San Collection - Oversize'!$A$12:$A$33,0),MATCH(V3,'San Collection - Oversize'!$L$10:$AM$10,0))</f>
        <v/>
      </c>
      <c r="W25" s="145" t="str">
        <f>INDEX('San Collection - Oversize'!$L$12:$AM$33, MATCH($B$25,'San Collection - Oversize'!$A$12:$A$33,0),MATCH(W3,'San Collection - Oversize'!$L$10:$AM$10,0))</f>
        <v/>
      </c>
      <c r="X25" s="145" t="str">
        <f>INDEX('San Collection - Oversize'!$L$12:$AM$33, MATCH($B$25,'San Collection - Oversize'!$A$12:$A$33,0),MATCH(X3,'San Collection - Oversize'!$L$10:$AM$10,0))</f>
        <v/>
      </c>
      <c r="Y25" s="145" t="str">
        <f>INDEX('San Collection - Oversize'!$L$12:$AM$33, MATCH($B$25,'San Collection - Oversize'!$A$12:$A$33,0),MATCH(Y3,'San Collection - Oversize'!$L$10:$AM$10,0))</f>
        <v/>
      </c>
      <c r="Z25" s="145" t="str">
        <f>INDEX('San Collection - Oversize'!$L$12:$AM$33, MATCH($B$25,'San Collection - Oversize'!$A$12:$A$33,0),MATCH(Z3,'San Collection - Oversize'!$L$10:$AM$10,0))</f>
        <v/>
      </c>
      <c r="AA25" s="145" t="str">
        <f>INDEX('San Collection - Oversize'!$L$12:$AM$33, MATCH($B$25,'San Collection - Oversize'!$A$12:$A$33,0),MATCH(AA3,'San Collection - Oversize'!$L$10:$AM$10,0))</f>
        <v/>
      </c>
      <c r="AB25" s="145" t="str">
        <f>INDEX('San Collection - Oversize'!$L$12:$AM$33, MATCH($B$25,'San Collection - Oversize'!$A$12:$A$33,0),MATCH(AB3,'San Collection - Oversize'!$L$10:$AM$10,0))</f>
        <v/>
      </c>
      <c r="AC25" s="145" t="str">
        <f>INDEX('San Collection - Oversize'!$L$12:$AM$33, MATCH($B$25,'San Collection - Oversize'!$A$12:$A$33,0),MATCH(AC3,'San Collection - Oversize'!$L$10:$AM$10,0))</f>
        <v/>
      </c>
      <c r="AD25" s="145" t="str">
        <f>INDEX('San Collection - Oversize'!$L$12:$AM$33, MATCH($B$25,'San Collection - Oversize'!$A$12:$A$33,0),MATCH(AD3,'San Collection - Oversize'!$L$10:$AM$10,0))</f>
        <v/>
      </c>
      <c r="AE25" s="145" t="str">
        <f>INDEX('San Collection - Oversize'!$L$12:$AM$33, MATCH($B$25,'San Collection - Oversize'!$A$12:$A$33,0),MATCH(AE3,'San Collection - Oversize'!$L$10:$AM$10,0))</f>
        <v/>
      </c>
      <c r="AF25" s="690">
        <f>SUM(C25:AC25)</f>
        <v>107290.61296874998</v>
      </c>
    </row>
    <row r="26" spans="1:32">
      <c r="A26" s="631"/>
      <c r="B26" s="141"/>
      <c r="C26" s="125"/>
      <c r="D26" s="125"/>
      <c r="E26" s="125"/>
      <c r="F26" s="125"/>
      <c r="G26" s="125"/>
      <c r="H26" s="125" cm="1">
        <f t="array" ref="H26">_xlfn.LET(_xlpm.x, H5-SUM($D$7:H7)-SUM($D$9:H9)-SUM($D$11:H11)-SUM($D$13:H13)-SUM($D$15:H15)-SUM($D$17:H17)-SUM($D$19:H19)-SUM($D$21:H21)-SUM($D$23:H23)-SUM($D$25:H25),IF(OR(_xlpm.x&lt;0, INDEX(G:G,ROW()-1)&lt;0), _xlpm.x, 0))</f>
        <v>-335914.07425234484</v>
      </c>
      <c r="I26" s="125" cm="1">
        <f t="array" ref="I26">_xlfn.LET(_xlpm.x, I5-SUM($D$7:I7)-SUM($D$9:I9)-SUM($D$11:I11)-SUM($D$13:I13)-SUM($D$15:I15)-SUM($D$17:I17)-SUM($D$19:I19)-SUM($D$21:I21)-SUM($D$23:I23)-SUM($D$25:I25),IF(OR(_xlpm.x&lt;0, INDEX(H:H,ROW()-1)&lt;0), _xlpm.x, 0))</f>
        <v>-80649.66707512876</v>
      </c>
      <c r="J26" s="345" cm="1">
        <f t="array" ref="J26">_xlfn.LET(_xlpm.x, J5-SUM($D$7:J7)-SUM($D$9:J9)-SUM($D$11:J11)-SUM($D$13:J13)-SUM($D$15:J15)-SUM($D$17:J17)-SUM($D$19:J19)-SUM($D$21:J21)-SUM($D$23:J23)-SUM($D$25:J25),IF(OR(_xlpm.x&lt;0, INDEX(I:I,ROW()-1)&lt;0), _xlpm.x, 0))</f>
        <v>0</v>
      </c>
      <c r="K26" s="125" cm="1">
        <f t="array" ref="K26">_xlfn.LET(_xlpm.x, K5-SUM($D$7:K7)-SUM($D$9:K9)-SUM($D$11:K11)-SUM($D$13:K13)-SUM($D$15:K15)-SUM($D$17:K17)-SUM($D$19:K19)-SUM($D$21:K21)-SUM($D$23:K23)-SUM($D$25:K25),IF(OR(_xlpm.x&lt;0, INDEX(J:J,ROW()-1)&lt;0), _xlpm.x, 0))</f>
        <v>0</v>
      </c>
      <c r="L26" s="125" cm="1">
        <f t="array" ref="L26">_xlfn.LET(_xlpm.x, L5-SUM($D$7:L7)-SUM($D$9:L9)-SUM($D$11:L11)-SUM($D$13:L13)-SUM($D$15:L15)-SUM($D$17:L17)-SUM($D$19:L19)-SUM($D$21:L21)-SUM($D$23:L23)-SUM($D$25:L25),IF(OR(_xlpm.x&lt;0, INDEX(K:K,ROW()-1)&lt;0), _xlpm.x, 0))</f>
        <v>0</v>
      </c>
      <c r="M26" s="125" cm="1">
        <f t="array" ref="M26">_xlfn.LET(_xlpm.x, M5-SUM($D$7:M7)-SUM($D$9:M9)-SUM($D$11:M11)-SUM($D$13:M13)-SUM($D$15:M15)-SUM($D$17:M17)-SUM($D$19:M19)-SUM($D$21:M21)-SUM($D$23:M23)-SUM($D$25:M25),IF(OR(_xlpm.x&lt;0, INDEX(L:L,ROW()-1)&lt;0), _xlpm.x, 0))</f>
        <v>0</v>
      </c>
      <c r="N26" s="125" cm="1">
        <f t="array" ref="N26">_xlfn.LET(_xlpm.x, N5-SUM($D$7:N7)-SUM($D$9:N9)-SUM($D$11:N11)-SUM($D$13:N13)-SUM($D$15:N15)-SUM($D$17:N17)-SUM($D$19:N19)-SUM($D$21:N21)-SUM($D$23:N23)-SUM($D$25:N25),IF(OR(_xlpm.x&lt;0, INDEX(M:M,ROW()-1)&lt;0), _xlpm.x, 0))</f>
        <v>0</v>
      </c>
      <c r="O26" s="125" cm="1">
        <f t="array" ref="O26">_xlfn.LET(_xlpm.x, O5-SUM($D$7:O7)-SUM($D$9:O9)-SUM($D$11:O11)-SUM($D$13:O13)-SUM($D$15:O15)-SUM($D$17:O17)-SUM($D$19:O19)-SUM($D$21:O21)-SUM($D$23:O23)-SUM($D$25:O25),IF(OR(_xlpm.x&lt;0, INDEX(N:N,ROW()-1)&lt;0), _xlpm.x, 0))</f>
        <v>0</v>
      </c>
      <c r="P26" s="125" cm="1">
        <f t="array" ref="P26">_xlfn.LET(_xlpm.x, P5-SUM($D$7:P7)-SUM($D$9:P9)-SUM($D$11:P11)-SUM($D$13:P13)-SUM($D$15:P15)-SUM($D$17:P17)-SUM($D$19:P19)-SUM($D$21:P21)-SUM($D$23:P23)-SUM($D$25:P25),IF(OR(_xlpm.x&lt;0, INDEX(O:O,ROW()-1)&lt;0), _xlpm.x, 0))</f>
        <v>0</v>
      </c>
      <c r="Q26" s="125" cm="1">
        <f t="array" ref="Q26">_xlfn.LET(_xlpm.x, Q5-SUM($D$7:Q7)-SUM($D$9:Q9)-SUM($D$11:Q11)-SUM($D$13:Q13)-SUM($D$15:Q15)-SUM($D$17:Q17)-SUM($D$19:Q19)-SUM($D$21:Q21)-SUM($D$23:Q23)-SUM($D$25:Q25),IF(OR(_xlpm.x&lt;0, INDEX(P:P,ROW()-1)&lt;0), _xlpm.x, 0))</f>
        <v>0</v>
      </c>
      <c r="R26" s="125" cm="1">
        <f t="array" ref="R26">_xlfn.LET(_xlpm.x, R5-SUM($D$7:R7)-SUM($D$9:R9)-SUM($D$11:R11)-SUM($D$13:R13)-SUM($D$15:R15)-SUM($D$17:R17)-SUM($D$19:R19)-SUM($D$21:R21)-SUM($D$23:R23)-SUM($D$25:R25),IF(OR(_xlpm.x&lt;0, INDEX(Q:Q,ROW()-1)&lt;0), _xlpm.x, 0))</f>
        <v>0</v>
      </c>
      <c r="S26" s="125"/>
      <c r="T26" s="125"/>
      <c r="U26" s="125"/>
      <c r="V26" s="125"/>
      <c r="W26" s="125"/>
      <c r="X26" s="125"/>
      <c r="Y26" s="125"/>
      <c r="Z26" s="125"/>
      <c r="AA26" s="125"/>
      <c r="AB26" s="125"/>
      <c r="AC26" s="125"/>
      <c r="AD26" s="125"/>
      <c r="AE26" s="125"/>
    </row>
    <row r="27" spans="1:32">
      <c r="A27" s="144" t="s">
        <v>279</v>
      </c>
      <c r="B27" s="144">
        <v>59</v>
      </c>
      <c r="C27" s="145" t="s">
        <v>118</v>
      </c>
      <c r="D27" s="145" t="str">
        <f>INDEX('San Collection - Oversize'!$L$12:$AM$33, MATCH($B$27,'San Collection - Oversize'!$A$12:$A$33,0),MATCH(D3,'San Collection - Oversize'!$L$10:$AM$10,0))</f>
        <v/>
      </c>
      <c r="E27" s="145" t="str">
        <f>INDEX('San Collection - Oversize'!$L$12:$AM$33, MATCH($B$27,'San Collection - Oversize'!$A$12:$A$33,0),MATCH(E3,'San Collection - Oversize'!$L$10:$AM$10,0))</f>
        <v/>
      </c>
      <c r="F27" s="145" t="str">
        <f>INDEX('San Collection - Oversize'!$L$12:$AM$33, MATCH($B$27,'San Collection - Oversize'!$A$12:$A$33,0),MATCH(F3,'San Collection - Oversize'!$L$10:$AM$10,0))</f>
        <v/>
      </c>
      <c r="G27" s="145" t="str">
        <f>INDEX('San Collection - Oversize'!$L$12:$AM$33, MATCH($B$27,'San Collection - Oversize'!$A$12:$A$33,0),MATCH(G3,'San Collection - Oversize'!$L$10:$AM$10,0))</f>
        <v/>
      </c>
      <c r="H27" s="145">
        <f>INDEX('San Collection - Oversize'!$L$12:$AM$33, MATCH($B$27,'San Collection - Oversize'!$A$12:$A$33,0),MATCH(H3,'San Collection - Oversize'!$L$10:$AM$10,0))</f>
        <v>30875.854176562494</v>
      </c>
      <c r="I27" s="145">
        <f>INDEX('San Collection - Oversize'!$L$12:$AM$33, MATCH($B$27,'San Collection - Oversize'!$A$12:$A$33,0),MATCH(I3,'San Collection - Oversize'!$L$10:$AM$10,0))</f>
        <v>31647.750530976551</v>
      </c>
      <c r="J27" s="145" t="str">
        <f>INDEX('San Collection - Oversize'!$L$12:$AM$33, MATCH($B$27,'San Collection - Oversize'!$A$12:$A$33,0),MATCH(J3,'San Collection - Oversize'!$L$10:$AM$10,0))</f>
        <v/>
      </c>
      <c r="K27" s="145" t="str">
        <f>INDEX('San Collection - Oversize'!$L$12:$AM$33, MATCH($B$27,'San Collection - Oversize'!$A$12:$A$33,0),MATCH(K3,'San Collection - Oversize'!$L$10:$AM$10,0))</f>
        <v/>
      </c>
      <c r="L27" s="145" t="str">
        <f>INDEX('San Collection - Oversize'!$L$12:$AM$33, MATCH($B$27,'San Collection - Oversize'!$A$12:$A$33,0),MATCH(L3,'San Collection - Oversize'!$L$10:$AM$10,0))</f>
        <v/>
      </c>
      <c r="M27" s="145" t="str">
        <f>INDEX('San Collection - Oversize'!$L$12:$AM$33, MATCH($B$27,'San Collection - Oversize'!$A$12:$A$33,0),MATCH(M3,'San Collection - Oversize'!$L$10:$AM$10,0))</f>
        <v/>
      </c>
      <c r="N27" s="145" t="str">
        <f>INDEX('San Collection - Oversize'!$L$12:$AM$33, MATCH($B$27,'San Collection - Oversize'!$A$12:$A$33,0),MATCH(N3,'San Collection - Oversize'!$L$10:$AM$10,0))</f>
        <v/>
      </c>
      <c r="O27" s="145" t="str">
        <f>INDEX('San Collection - Oversize'!$L$12:$AM$33, MATCH($B$27,'San Collection - Oversize'!$A$12:$A$33,0),MATCH(O3,'San Collection - Oversize'!$L$10:$AM$10,0))</f>
        <v/>
      </c>
      <c r="P27" s="145" t="str">
        <f>INDEX('San Collection - Oversize'!$L$12:$AM$33, MATCH($B$27,'San Collection - Oversize'!$A$12:$A$33,0),MATCH(P3,'San Collection - Oversize'!$L$10:$AM$10,0))</f>
        <v/>
      </c>
      <c r="Q27" s="145" t="str">
        <f>INDEX('San Collection - Oversize'!$L$12:$AM$33, MATCH($B$27,'San Collection - Oversize'!$A$12:$A$33,0),MATCH(Q3,'San Collection - Oversize'!$L$10:$AM$10,0))</f>
        <v/>
      </c>
      <c r="R27" s="145" t="str">
        <f>INDEX('San Collection - Oversize'!$L$12:$AM$33, MATCH($B$27,'San Collection - Oversize'!$A$12:$A$33,0),MATCH(R3,'San Collection - Oversize'!$L$10:$AM$10,0))</f>
        <v/>
      </c>
      <c r="S27" s="145" t="str">
        <f>INDEX('San Collection - Oversize'!$L$12:$AM$33, MATCH($B$27,'San Collection - Oversize'!$A$12:$A$33,0),MATCH(S3,'San Collection - Oversize'!$L$10:$AM$10,0))</f>
        <v/>
      </c>
      <c r="T27" s="145" t="str">
        <f>INDEX('San Collection - Oversize'!$L$12:$AM$33, MATCH($B$27,'San Collection - Oversize'!$A$12:$A$33,0),MATCH(T3,'San Collection - Oversize'!$L$10:$AM$10,0))</f>
        <v/>
      </c>
      <c r="U27" s="145" t="str">
        <f>INDEX('San Collection - Oversize'!$L$12:$AM$33, MATCH($B$27,'San Collection - Oversize'!$A$12:$A$33,0),MATCH(U3,'San Collection - Oversize'!$L$10:$AM$10,0))</f>
        <v/>
      </c>
      <c r="V27" s="145" t="str">
        <f>INDEX('San Collection - Oversize'!$L$12:$AM$33, MATCH($B$27,'San Collection - Oversize'!$A$12:$A$33,0),MATCH(V3,'San Collection - Oversize'!$L$10:$AM$10,0))</f>
        <v/>
      </c>
      <c r="W27" s="145" t="str">
        <f>INDEX('San Collection - Oversize'!$L$12:$AM$33, MATCH($B$27,'San Collection - Oversize'!$A$12:$A$33,0),MATCH(W3,'San Collection - Oversize'!$L$10:$AM$10,0))</f>
        <v/>
      </c>
      <c r="X27" s="145" t="str">
        <f>INDEX('San Collection - Oversize'!$L$12:$AM$33, MATCH($B$27,'San Collection - Oversize'!$A$12:$A$33,0),MATCH(X3,'San Collection - Oversize'!$L$10:$AM$10,0))</f>
        <v/>
      </c>
      <c r="Y27" s="145" t="str">
        <f>INDEX('San Collection - Oversize'!$L$12:$AM$33, MATCH($B$27,'San Collection - Oversize'!$A$12:$A$33,0),MATCH(Y3,'San Collection - Oversize'!$L$10:$AM$10,0))</f>
        <v/>
      </c>
      <c r="Z27" s="145" t="str">
        <f>INDEX('San Collection - Oversize'!$L$12:$AM$33, MATCH($B$27,'San Collection - Oversize'!$A$12:$A$33,0),MATCH(Z3,'San Collection - Oversize'!$L$10:$AM$10,0))</f>
        <v/>
      </c>
      <c r="AA27" s="145" t="str">
        <f>INDEX('San Collection - Oversize'!$L$12:$AM$33, MATCH($B$27,'San Collection - Oversize'!$A$12:$A$33,0),MATCH(AA3,'San Collection - Oversize'!$L$10:$AM$10,0))</f>
        <v/>
      </c>
      <c r="AB27" s="145" t="str">
        <f>INDEX('San Collection - Oversize'!$L$12:$AM$33, MATCH($B$27,'San Collection - Oversize'!$A$12:$A$33,0),MATCH(AB3,'San Collection - Oversize'!$L$10:$AM$10,0))</f>
        <v/>
      </c>
      <c r="AC27" s="145" t="str">
        <f>INDEX('San Collection - Oversize'!$L$12:$AM$33, MATCH($B$27,'San Collection - Oversize'!$A$12:$A$33,0),MATCH(AC3,'San Collection - Oversize'!$L$10:$AM$10,0))</f>
        <v/>
      </c>
      <c r="AD27" s="145" t="str">
        <f>INDEX('San Collection - Oversize'!$L$12:$AM$33, MATCH($B$27,'San Collection - Oversize'!$A$12:$A$33,0),MATCH(AD3,'San Collection - Oversize'!$L$10:$AM$10,0))</f>
        <v/>
      </c>
      <c r="AE27" s="145" t="str">
        <f>INDEX('San Collection - Oversize'!$L$12:$AM$33, MATCH($B$27,'San Collection - Oversize'!$A$12:$A$33,0),MATCH(AE3,'San Collection - Oversize'!$L$10:$AM$10,0))</f>
        <v/>
      </c>
      <c r="AF27" s="690">
        <f>SUM(C27:AC27)</f>
        <v>62523.604707539045</v>
      </c>
    </row>
    <row r="28" spans="1:32">
      <c r="A28" s="631"/>
      <c r="B28" s="141"/>
      <c r="C28" s="125"/>
      <c r="D28" s="125"/>
      <c r="E28" s="125"/>
      <c r="F28" s="125"/>
      <c r="G28" s="125"/>
      <c r="H28" s="125" cm="1">
        <f t="array" ref="H28">_xlfn.LET(_xlpm.x, H5-SUM($D$7:I7)-SUM($D$9:I9)-SUM($D$11:I11)-SUM($D$13:I13)-SUM($D$15:I15)-SUM($D$17:I17)-SUM($D$19:I19)-SUM($D$21:I21)-SUM($D$23:I23)-SUM($D$25:I25)-SUM($D$27:I27),IF(OR(_xlpm.x&lt;0, INDEX(G:G,ROW()-1)&lt;0), _xlpm.x, 0))</f>
        <v>-498893.15136601665</v>
      </c>
      <c r="I28" s="125" cm="1">
        <f t="array" ref="I28">_xlfn.LET(_xlpm.x, I5-SUM($D$7:J7)-SUM($D$9:J9)-SUM($D$11:J11)-SUM($D$13:J13)-SUM($D$15:J15)-SUM($D$17:J17)-SUM($D$19:J19)-SUM($D$21:J21)-SUM($D$23:J23)-SUM($D$25:J25)-SUM($D$27:J27),IF(OR(_xlpm.x&lt;0, INDEX(H:H,ROW()-1)&lt;0), _xlpm.x, 0))</f>
        <v>-143173.27178266781</v>
      </c>
      <c r="J28" s="345" cm="1">
        <f t="array" ref="J28">_xlfn.LET(_xlpm.x, J5-SUM($D$7:K7)-SUM($D$9:K9)-SUM($D$11:K11)-SUM($D$13:K13)-SUM($D$15:K15)-SUM($D$17:K17)-SUM($D$19:K19)-SUM($D$21:K21)-SUM($D$23:K23)-SUM($D$25:K25)-SUM($D$27:K27),IF(OR(_xlpm.x&lt;0, INDEX(I:I,ROW()-1)&lt;0), _xlpm.x, 0))</f>
        <v>0</v>
      </c>
      <c r="K28" s="125" cm="1">
        <f t="array" ref="K28">_xlfn.LET(_xlpm.x, K5-SUM($D$7:L7)-SUM($D$9:L9)-SUM($D$11:L11)-SUM($D$13:L13)-SUM($D$15:L15)-SUM($D$17:L17)-SUM($D$19:L19)-SUM($D$21:L21)-SUM($D$23:L23)-SUM($D$25:L25)-SUM($D$27:L27),IF(OR(_xlpm.x&lt;0, INDEX(J:J,ROW()-1)&lt;0), _xlpm.x, 0))</f>
        <v>0</v>
      </c>
      <c r="L28" s="125" cm="1">
        <f t="array" ref="L28">_xlfn.LET(_xlpm.x, L5-SUM($D$7:M7)-SUM($D$9:M9)-SUM($D$11:M11)-SUM($D$13:M13)-SUM($D$15:M15)-SUM($D$17:M17)-SUM($D$19:M19)-SUM($D$21:M21)-SUM($D$23:M23)-SUM($D$25:M25)-SUM($D$27:M27),IF(OR(_xlpm.x&lt;0, INDEX(K:K,ROW()-1)&lt;0), _xlpm.x, 0))</f>
        <v>0</v>
      </c>
      <c r="M28" s="125" cm="1">
        <f t="array" ref="M28">_xlfn.LET(_xlpm.x, M5-SUM($D$7:N7)-SUM($D$9:N9)-SUM($D$11:N11)-SUM($D$13:N13)-SUM($D$15:N15)-SUM($D$17:N17)-SUM($D$19:N19)-SUM($D$21:N21)-SUM($D$23:N23)-SUM($D$25:N25)-SUM($D$27:N27),IF(OR(_xlpm.x&lt;0, INDEX(L:L,ROW()-1)&lt;0), _xlpm.x, 0))</f>
        <v>0</v>
      </c>
      <c r="N28" s="125" cm="1">
        <f t="array" ref="N28">_xlfn.LET(_xlpm.x, N5-SUM($D$7:O7)-SUM($D$9:O9)-SUM($D$11:O11)-SUM($D$13:O13)-SUM($D$15:O15)-SUM($D$17:O17)-SUM($D$19:O19)-SUM($D$21:O21)-SUM($D$23:O23)-SUM($D$25:O25)-SUM($D$27:O27),IF(OR(_xlpm.x&lt;0, INDEX(M:M,ROW()-1)&lt;0), _xlpm.x, 0))</f>
        <v>0</v>
      </c>
      <c r="O28" s="125" cm="1">
        <f t="array" ref="O28">_xlfn.LET(_xlpm.x, O5-SUM($D$7:P7)-SUM($D$9:P9)-SUM($D$11:P11)-SUM($D$13:P13)-SUM($D$15:P15)-SUM($D$17:P17)-SUM($D$19:P19)-SUM($D$21:P21)-SUM($D$23:P23)-SUM($D$25:P25)-SUM($D$27:P27),IF(OR(_xlpm.x&lt;0, INDEX(N:N,ROW()-1)&lt;0), _xlpm.x, 0))</f>
        <v>0</v>
      </c>
      <c r="P28" s="125" cm="1">
        <f t="array" ref="P28">_xlfn.LET(_xlpm.x, P5-SUM($D$7:Q7)-SUM($D$9:Q9)-SUM($D$11:Q11)-SUM($D$13:Q13)-SUM($D$15:Q15)-SUM($D$17:Q17)-SUM($D$19:Q19)-SUM($D$21:Q21)-SUM($D$23:Q23)-SUM($D$25:Q25)-SUM($D$27:Q27),IF(OR(_xlpm.x&lt;0, INDEX(O:O,ROW()-1)&lt;0), _xlpm.x, 0))</f>
        <v>0</v>
      </c>
      <c r="Q28" s="125" cm="1">
        <f t="array" ref="Q28">_xlfn.LET(_xlpm.x, Q5-SUM($D$7:R7)-SUM($D$9:R9)-SUM($D$11:R11)-SUM($D$13:R13)-SUM($D$15:R15)-SUM($D$17:R17)-SUM($D$19:R19)-SUM($D$21:R21)-SUM($D$23:R23)-SUM($D$25:R25)-SUM($D$27:R27),IF(OR(_xlpm.x&lt;0, INDEX(P:P,ROW()-1)&lt;0), _xlpm.x, 0))</f>
        <v>0</v>
      </c>
      <c r="R28" s="125" cm="1">
        <f t="array" ref="R28">_xlfn.LET(_xlpm.x, R5-SUM($D$7:S7)-SUM($D$9:S9)-SUM($D$11:S11)-SUM($D$13:S13)-SUM($D$15:S15)-SUM($D$17:S17)-SUM($D$19:S19)-SUM($D$21:S21)-SUM($D$23:S23)-SUM($D$25:S25)-SUM($D$27:S27),IF(OR(_xlpm.x&lt;0, INDEX(Q:Q,ROW()-1)&lt;0), _xlpm.x, 0))</f>
        <v>0</v>
      </c>
      <c r="S28" s="125" cm="1">
        <f t="array" ref="S28">_xlfn.LET(_xlpm.x, S5-SUM($D$7:T7)-SUM($D$9:T9)-SUM($D$11:T11)-SUM($D$13:T13)-SUM($D$15:T15)-SUM($D$17:T17)-SUM($D$19:T19)-SUM($D$21:T21)-SUM($D$23:T23)-SUM($D$25:T25)-SUM($D$27:T27),IF(OR(_xlpm.x&lt;0, INDEX(R:R,ROW()-1)&lt;0), _xlpm.x, 0))</f>
        <v>0</v>
      </c>
      <c r="T28" s="125" cm="1">
        <f t="array" ref="T28">_xlfn.LET(_xlpm.x, T5-SUM($D$7:U7)-SUM($D$9:U9)-SUM($D$11:U11)-SUM($D$13:U13)-SUM($D$15:U15)-SUM($D$17:U17)-SUM($D$19:U19)-SUM($D$21:U21)-SUM($D$23:U23)-SUM($D$25:U25)-SUM($D$27:U27),IF(OR(_xlpm.x&lt;0, INDEX(S:S,ROW()-1)&lt;0), _xlpm.x, 0))</f>
        <v>0</v>
      </c>
      <c r="U28" s="125" cm="1">
        <f t="array" ref="U28">_xlfn.LET(_xlpm.x, U5-SUM($D$7:V7)-SUM($D$9:V9)-SUM($D$11:V11)-SUM($D$13:V13)-SUM($D$15:V15)-SUM($D$17:V17)-SUM($D$19:V19)-SUM($D$21:V21)-SUM($D$23:V23)-SUM($D$25:V25)-SUM($D$27:V27),IF(OR(_xlpm.x&lt;0, INDEX(T:T,ROW()-1)&lt;0), _xlpm.x, 0))</f>
        <v>0</v>
      </c>
      <c r="V28" s="125"/>
      <c r="W28" s="125"/>
      <c r="X28" s="125"/>
      <c r="Y28" s="125"/>
      <c r="Z28" s="125"/>
      <c r="AA28" s="125"/>
      <c r="AB28" s="125"/>
      <c r="AC28" s="125"/>
      <c r="AD28" s="125"/>
      <c r="AE28" s="125"/>
    </row>
    <row r="29" spans="1:32">
      <c r="A29" s="144" t="s">
        <v>279</v>
      </c>
      <c r="B29" s="144">
        <v>47</v>
      </c>
      <c r="C29" s="145" t="s">
        <v>118</v>
      </c>
      <c r="D29" s="145" t="str">
        <f>INDEX('San Collection - Oversize'!$L$12:$AM$33, MATCH($B$29,'San Collection - Oversize'!$A$12:$A$33,0),MATCH(D3,'San Collection - Oversize'!$L$10:$AM$10,0))</f>
        <v/>
      </c>
      <c r="E29" s="145" t="str">
        <f>INDEX('San Collection - Oversize'!$L$12:$AM$33, MATCH($B$29,'San Collection - Oversize'!$A$12:$A$33,0),MATCH(E3,'San Collection - Oversize'!$L$10:$AM$10,0))</f>
        <v/>
      </c>
      <c r="F29" s="145" t="str">
        <f>INDEX('San Collection - Oversize'!$L$12:$AM$33, MATCH($B$29,'San Collection - Oversize'!$A$12:$A$33,0),MATCH(F3,'San Collection - Oversize'!$L$10:$AM$10,0))</f>
        <v/>
      </c>
      <c r="G29" s="145" t="str">
        <f>INDEX('San Collection - Oversize'!$L$12:$AM$33, MATCH($B$29,'San Collection - Oversize'!$A$12:$A$33,0),MATCH(G3,'San Collection - Oversize'!$L$10:$AM$10,0))</f>
        <v/>
      </c>
      <c r="H29" s="145" t="str">
        <f>INDEX('San Collection - Oversize'!$L$12:$AM$33, MATCH($B$29,'San Collection - Oversize'!$A$12:$A$33,0),MATCH(H3,'San Collection - Oversize'!$L$10:$AM$10,0))</f>
        <v/>
      </c>
      <c r="I29" s="145">
        <f>INDEX('San Collection - Oversize'!$L$12:$AM$33, MATCH($B$29,'San Collection - Oversize'!$A$12:$A$33,0),MATCH(I3,'San Collection - Oversize'!$L$10:$AM$10,0))</f>
        <v>1063487.1614893079</v>
      </c>
      <c r="J29" s="145">
        <f>INDEX('San Collection - Oversize'!$L$12:$AM$33, MATCH($B$29,'San Collection - Oversize'!$A$12:$A$33,0),MATCH(J3,'San Collection - Oversize'!$L$10:$AM$10,0))</f>
        <v>1090074.3405265405</v>
      </c>
      <c r="K29" s="145" t="str">
        <f>INDEX('San Collection - Oversize'!$L$12:$AM$33, MATCH($B$29,'San Collection - Oversize'!$A$12:$A$33,0),MATCH(K3,'San Collection - Oversize'!$L$10:$AM$10,0))</f>
        <v/>
      </c>
      <c r="L29" s="145" t="str">
        <f>INDEX('San Collection - Oversize'!$L$12:$AM$33, MATCH($B$29,'San Collection - Oversize'!$A$12:$A$33,0),MATCH(L3,'San Collection - Oversize'!$L$10:$AM$10,0))</f>
        <v/>
      </c>
      <c r="M29" s="145" t="str">
        <f>INDEX('San Collection - Oversize'!$L$12:$AM$33, MATCH($B$29,'San Collection - Oversize'!$A$12:$A$33,0),MATCH(M3,'San Collection - Oversize'!$L$10:$AM$10,0))</f>
        <v/>
      </c>
      <c r="N29" s="145" t="str">
        <f>INDEX('San Collection - Oversize'!$L$12:$AM$33, MATCH($B$29,'San Collection - Oversize'!$A$12:$A$33,0),MATCH(N3,'San Collection - Oversize'!$L$10:$AM$10,0))</f>
        <v/>
      </c>
      <c r="O29" s="145" t="str">
        <f>INDEX('San Collection - Oversize'!$L$12:$AM$33, MATCH($B$29,'San Collection - Oversize'!$A$12:$A$33,0),MATCH(O3,'San Collection - Oversize'!$L$10:$AM$10,0))</f>
        <v/>
      </c>
      <c r="P29" s="145" t="str">
        <f>INDEX('San Collection - Oversize'!$L$12:$AM$33, MATCH($B$29,'San Collection - Oversize'!$A$12:$A$33,0),MATCH(P3,'San Collection - Oversize'!$L$10:$AM$10,0))</f>
        <v/>
      </c>
      <c r="Q29" s="145" t="str">
        <f>INDEX('San Collection - Oversize'!$L$12:$AM$33, MATCH($B$29,'San Collection - Oversize'!$A$12:$A$33,0),MATCH(Q3,'San Collection - Oversize'!$L$10:$AM$10,0))</f>
        <v/>
      </c>
      <c r="R29" s="145" t="str">
        <f>INDEX('San Collection - Oversize'!$L$12:$AM$33, MATCH($B$29,'San Collection - Oversize'!$A$12:$A$33,0),MATCH(R3,'San Collection - Oversize'!$L$10:$AM$10,0))</f>
        <v/>
      </c>
      <c r="S29" s="145" t="str">
        <f>INDEX('San Collection - Oversize'!$L$12:$AM$33, MATCH($B$29,'San Collection - Oversize'!$A$12:$A$33,0),MATCH(S3,'San Collection - Oversize'!$L$10:$AM$10,0))</f>
        <v/>
      </c>
      <c r="T29" s="145" t="str">
        <f>INDEX('San Collection - Oversize'!$L$12:$AM$33, MATCH($B$29,'San Collection - Oversize'!$A$12:$A$33,0),MATCH(T3,'San Collection - Oversize'!$L$10:$AM$10,0))</f>
        <v/>
      </c>
      <c r="U29" s="145" t="str">
        <f>INDEX('San Collection - Oversize'!$L$12:$AM$33, MATCH($B$29,'San Collection - Oversize'!$A$12:$A$33,0),MATCH(U3,'San Collection - Oversize'!$L$10:$AM$10,0))</f>
        <v/>
      </c>
      <c r="V29" s="145" t="str">
        <f>INDEX('San Collection - Oversize'!$L$12:$AM$33, MATCH($B$29,'San Collection - Oversize'!$A$12:$A$33,0),MATCH(V3,'San Collection - Oversize'!$L$10:$AM$10,0))</f>
        <v/>
      </c>
      <c r="W29" s="145" t="str">
        <f>INDEX('San Collection - Oversize'!$L$12:$AM$33, MATCH($B$29,'San Collection - Oversize'!$A$12:$A$33,0),MATCH(W3,'San Collection - Oversize'!$L$10:$AM$10,0))</f>
        <v/>
      </c>
      <c r="X29" s="145" t="str">
        <f>INDEX('San Collection - Oversize'!$L$12:$AM$33, MATCH($B$29,'San Collection - Oversize'!$A$12:$A$33,0),MATCH(X3,'San Collection - Oversize'!$L$10:$AM$10,0))</f>
        <v/>
      </c>
      <c r="Y29" s="145" t="str">
        <f>INDEX('San Collection - Oversize'!$L$12:$AM$33, MATCH($B$29,'San Collection - Oversize'!$A$12:$A$33,0),MATCH(Y3,'San Collection - Oversize'!$L$10:$AM$10,0))</f>
        <v/>
      </c>
      <c r="Z29" s="145" t="str">
        <f>INDEX('San Collection - Oversize'!$L$12:$AM$33, MATCH($B$29,'San Collection - Oversize'!$A$12:$A$33,0),MATCH(Z3,'San Collection - Oversize'!$L$10:$AM$10,0))</f>
        <v/>
      </c>
      <c r="AA29" s="145" t="str">
        <f>INDEX('San Collection - Oversize'!$L$12:$AM$33, MATCH($B$29,'San Collection - Oversize'!$A$12:$A$33,0),MATCH(AA3,'San Collection - Oversize'!$L$10:$AM$10,0))</f>
        <v/>
      </c>
      <c r="AB29" s="145" t="str">
        <f>INDEX('San Collection - Oversize'!$L$12:$AM$33, MATCH($B$29,'San Collection - Oversize'!$A$12:$A$33,0),MATCH(AB3,'San Collection - Oversize'!$L$10:$AM$10,0))</f>
        <v/>
      </c>
      <c r="AC29" s="145" t="str">
        <f>INDEX('San Collection - Oversize'!$L$12:$AM$33, MATCH($B$29,'San Collection - Oversize'!$A$12:$A$33,0),MATCH(AC3,'San Collection - Oversize'!$L$10:$AM$10,0))</f>
        <v/>
      </c>
      <c r="AD29" s="145" t="str">
        <f>INDEX('San Collection - Oversize'!$L$12:$AM$33, MATCH($B$29,'San Collection - Oversize'!$A$12:$A$33,0),MATCH(AD3,'San Collection - Oversize'!$L$10:$AM$10,0))</f>
        <v/>
      </c>
      <c r="AE29" s="145" t="str">
        <f>INDEX('San Collection - Oversize'!$L$12:$AM$33, MATCH($B$29,'San Collection - Oversize'!$A$12:$A$33,0),MATCH(AE3,'San Collection - Oversize'!$L$10:$AM$10,0))</f>
        <v/>
      </c>
      <c r="AF29" s="690">
        <f>SUM(C29:AC29)</f>
        <v>2153561.5020158486</v>
      </c>
    </row>
    <row r="30" spans="1:32">
      <c r="A30" s="631"/>
      <c r="B30" s="141"/>
      <c r="C30" s="125"/>
      <c r="D30" s="125"/>
      <c r="E30" s="125"/>
      <c r="F30" s="125"/>
      <c r="G30" s="125"/>
      <c r="H30" s="125"/>
      <c r="I30" s="125" cm="1">
        <f t="array" ref="I30">_xlfn.LET(_xlpm.x, I5-SUM($D$7:I7)-SUM($D$9:I9)-SUM($D$11:I11)-SUM($D$13:I13)-SUM($D$15:I15)-SUM($D$17:I17)-SUM($D$19:I19)-SUM($D$21:I21)-SUM($D$23:I23)-SUM($D$25:I25)-SUM($D$27:I27)-SUM($D$29:I29),IF(OR(_xlpm.x&lt;0, INDEX(H:H,ROW()-1)&lt;0), _xlpm.x, 0))</f>
        <v>-1206660.4332719757</v>
      </c>
      <c r="J30" s="125" cm="1">
        <f t="array" ref="J30">_xlfn.LET(_xlpm.x, J5-SUM($D$7:J7)-SUM($D$9:J9)-SUM($D$11:J11)-SUM($D$13:J13)-SUM($D$15:J15)-SUM($D$17:J17)-SUM($D$19:J19)-SUM($D$21:J21)-SUM($D$23:J23)-SUM($D$25:J25)-SUM($D$27:J27)-SUM($D$29:J29),IF(OR(_xlpm.x&lt;0, INDEX(I:I,ROW()-1)&lt;0), _xlpm.x, 0))</f>
        <v>-1933900.4966235007</v>
      </c>
      <c r="K30" s="125" cm="1">
        <f t="array" ref="K30">_xlfn.LET(_xlpm.x, K5-SUM($D$7:K7)-SUM($D$9:K9)-SUM($D$11:K11)-SUM($D$13:K13)-SUM($D$15:K15)-SUM($D$17:K17)-SUM($D$19:K19)-SUM($D$21:K21)-SUM($D$23:K23)-SUM($D$25:K25)-SUM($D$27:K27)-SUM($D$29:K29),IF(OR(_xlpm.x&lt;0, INDEX(J:J,ROW()-1)&lt;0), _xlpm.x, 0))</f>
        <v>-1563809.5339049846</v>
      </c>
      <c r="L30" s="125" cm="1">
        <f t="array" ref="L30">_xlfn.LET(_xlpm.x, L5-SUM($D$7:L7)-SUM($D$9:L9)-SUM($D$11:L11)-SUM($D$13:L13)-SUM($D$15:L15)-SUM($D$17:L17)-SUM($D$19:L19)-SUM($D$21:L21)-SUM($D$23:L23)-SUM($D$25:L25)-SUM($D$27:L27)-SUM($D$29:L29),IF(OR(_xlpm.x&lt;0, INDEX(K:K,ROW()-1)&lt;0), _xlpm.x, 0))</f>
        <v>-1186316.7519320981</v>
      </c>
      <c r="M30" s="125" cm="1">
        <f t="array" ref="M30">_xlfn.LET(_xlpm.x, M5-SUM($D$7:M7)-SUM($D$9:M9)-SUM($D$11:M11)-SUM($D$13:M13)-SUM($D$15:M15)-SUM($D$17:M17)-SUM($D$19:M19)-SUM($D$21:M21)-SUM($D$23:M23)-SUM($D$25:M25)-SUM($D$27:M27)-SUM($D$29:M29),IF(OR(_xlpm.x&lt;0, INDEX(L:L,ROW()-1)&lt;0), _xlpm.x, 0))</f>
        <v>-801274.11431975407</v>
      </c>
      <c r="N30" s="125" cm="1">
        <f t="array" ref="N30">_xlfn.LET(_xlpm.x, N5-SUM($D$7:N7)-SUM($D$9:N9)-SUM($D$11:N11)-SUM($D$13:N13)-SUM($D$15:N15)-SUM($D$17:N17)-SUM($D$19:N19)-SUM($D$21:N21)-SUM($D$23:N23)-SUM($D$25:N25)-SUM($D$27:N27)-SUM($D$29:N29),IF(OR(_xlpm.x&lt;0, INDEX(M:M,ROW()-1)&lt;0), _xlpm.x, 0))</f>
        <v>-408530.62395516317</v>
      </c>
      <c r="O30" s="125" cm="1">
        <f t="array" ref="O30">_xlfn.LET(_xlpm.x, O5-SUM($D$7:O7)-SUM($D$9:O9)-SUM($D$11:O11)-SUM($D$13:O13)-SUM($D$15:O15)-SUM($D$17:O17)-SUM($D$19:O19)-SUM($D$21:O21)-SUM($D$23:O23)-SUM($D$25:O25)-SUM($D$27:O27)-SUM($D$29:O29),IF(OR(_xlpm.x&lt;0, INDEX(N:N,ROW()-1)&lt;0), _xlpm.x, 0))</f>
        <v>-7932.263783280272</v>
      </c>
      <c r="P30" s="345" cm="1">
        <f t="array" ref="P30">_xlfn.LET(_xlpm.x, P5-SUM($D$7:P7)-SUM($D$9:P9)-SUM($D$11:P11)-SUM($D$13:P13)-SUM($D$15:P15)-SUM($D$17:P17)-SUM($D$19:P19)-SUM($D$21:P21)-SUM($D$23:P23)-SUM($D$25:P25)-SUM($D$27:P27)-SUM($D$29:P29),IF(OR(_xlpm.x&lt;0, INDEX(O:O,ROW()-1)&lt;0), _xlpm.x, 0))</f>
        <v>0</v>
      </c>
      <c r="Q30" s="125" cm="1">
        <f t="array" ref="Q30">_xlfn.LET(_xlpm.x, Q5-SUM($D$7:Q7)-SUM($D$9:Q9)-SUM($D$11:Q11)-SUM($D$13:Q13)-SUM($D$15:Q15)-SUM($D$17:Q17)-SUM($D$19:Q19)-SUM($D$21:Q21)-SUM($D$23:Q23)-SUM($D$25:Q25)-SUM($D$27:Q27)-SUM($D$29:Q29),IF(OR(_xlpm.x&lt;0, INDEX(P:P,ROW()-1)&lt;0), _xlpm.x, 0))</f>
        <v>0</v>
      </c>
      <c r="R30" s="125" cm="1">
        <f t="array" ref="R30">_xlfn.LET(_xlpm.x, R5-SUM($D$7:R7)-SUM($D$9:R9)-SUM($D$11:R11)-SUM($D$13:R13)-SUM($D$15:R15)-SUM($D$17:R17)-SUM($D$19:R19)-SUM($D$21:R21)-SUM($D$23:R23)-SUM($D$25:R25)-SUM($D$27:R27)-SUM($D$29:R29),IF(OR(_xlpm.x&lt;0, INDEX(Q:Q,ROW()-1)&lt;0), _xlpm.x, 0))</f>
        <v>0</v>
      </c>
      <c r="S30" s="125" cm="1">
        <f t="array" ref="S30">_xlfn.LET(_xlpm.x, S5-SUM($D$7:S7)-SUM($D$9:S9)-SUM($D$11:S11)-SUM($D$13:S13)-SUM($D$15:S15)-SUM($D$17:S17)-SUM($D$19:S19)-SUM($D$21:S21)-SUM($D$23:S23)-SUM($D$25:S25)-SUM($D$27:S27)-SUM($D$29:S29),IF(OR(_xlpm.x&lt;0, INDEX(R:R,ROW()-1)&lt;0), _xlpm.x, 0))</f>
        <v>0</v>
      </c>
      <c r="T30" s="125" cm="1">
        <f t="array" ref="T30">_xlfn.LET(_xlpm.x, T5-SUM($D$7:T7)-SUM($D$9:T9)-SUM($D$11:T11)-SUM($D$13:T13)-SUM($D$15:T15)-SUM($D$17:T17)-SUM($D$19:T19)-SUM($D$21:T21)-SUM($D$23:T23)-SUM($D$25:T25)-SUM($D$27:T27)-SUM($D$29:T29),IF(OR(_xlpm.x&lt;0, INDEX(S:S,ROW()-1)&lt;0), _xlpm.x, 0))</f>
        <v>0</v>
      </c>
      <c r="U30" s="125" cm="1">
        <f t="array" ref="U30">_xlfn.LET(_xlpm.x, U5-SUM($D$7:U7)-SUM($D$9:U9)-SUM($D$11:U11)-SUM($D$13:U13)-SUM($D$15:U15)-SUM($D$17:U17)-SUM($D$19:U19)-SUM($D$21:U21)-SUM($D$23:U23)-SUM($D$25:U25)-SUM($D$27:U27)-SUM($D$29:U29)+U28,IF(OR(_xlpm.x&lt;0, INDEX(T:T,ROW()-1)&lt;0), _xlpm.x, 0))</f>
        <v>0</v>
      </c>
      <c r="V30" s="125" cm="1">
        <f t="array" ref="V30">_xlfn.LET(_xlpm.x, V5-SUM($D$7:V7)-SUM($D$9:V9)-SUM($D$11:V11)-SUM($D$13:V13)-SUM($D$15:V15)-SUM($D$17:V17)-SUM($D$19:V19)-SUM($D$21:V21)-SUM($D$23:V23)-SUM($D$25:V25)-SUM($D$27:V27)-SUM($D$29:V29)+V28,IF(OR(_xlpm.x&lt;0, INDEX(U:U,ROW()-1)&lt;0), _xlpm.x, 0))</f>
        <v>0</v>
      </c>
      <c r="W30" s="125" cm="1">
        <f t="array" ref="W30">_xlfn.LET(_xlpm.x, W5-SUM($D$7:W7)-SUM($D$9:W9)-SUM($D$11:W11)-SUM($D$13:W13)-SUM($D$15:W15)-SUM($D$17:W17)-SUM($D$19:W19)-SUM($D$21:W21)-SUM($D$23:W23)-SUM($D$25:W25)-SUM($D$27:W27)-SUM($D$29:W29)+W28,IF(OR(_xlpm.x&lt;0, INDEX(V:V,ROW()-1)&lt;0), _xlpm.x, 0))</f>
        <v>0</v>
      </c>
      <c r="X30" s="125" cm="1">
        <f t="array" ref="X30">_xlfn.LET(_xlpm.x, X5-SUM($D$7:X7)-SUM($D$9:X9)-SUM($D$11:X11)-SUM($D$13:X13)-SUM($D$15:X15)-SUM($D$17:X17)-SUM($D$19:X19)-SUM($D$21:X21)-SUM($D$23:X23)-SUM($D$25:X25)-SUM($D$27:X27)-SUM($D$29:X29)+X28,IF(OR(_xlpm.x&lt;0, INDEX(W:W,ROW()-1)&lt;0), _xlpm.x, 0))</f>
        <v>0</v>
      </c>
      <c r="Y30" s="125"/>
      <c r="Z30" s="125"/>
      <c r="AA30" s="125"/>
      <c r="AB30" s="125"/>
      <c r="AC30" s="125"/>
      <c r="AD30" s="125"/>
      <c r="AE30" s="125"/>
    </row>
    <row r="31" spans="1:32">
      <c r="A31" s="144" t="s">
        <v>279</v>
      </c>
      <c r="B31" s="144">
        <v>69</v>
      </c>
      <c r="C31" s="145" t="s">
        <v>118</v>
      </c>
      <c r="D31" s="145" t="str">
        <f>INDEX('San Collection - Oversize'!$L$12:$AM$33, MATCH($B$31,'San Collection - Oversize'!$A$12:$A$33,0),MATCH(D3,'San Collection - Oversize'!$L$10:$AM$10,0))</f>
        <v/>
      </c>
      <c r="E31" s="145" t="str">
        <f>INDEX('San Collection - Oversize'!$L$12:$AM$33, MATCH($B$31,'San Collection - Oversize'!$A$12:$A$33,0),MATCH(E3,'San Collection - Oversize'!$L$10:$AM$10,0))</f>
        <v/>
      </c>
      <c r="F31" s="145" t="str">
        <f>INDEX('San Collection - Oversize'!$L$12:$AM$33, MATCH($B$31,'San Collection - Oversize'!$A$12:$A$33,0),MATCH(F3,'San Collection - Oversize'!$L$10:$AM$10,0))</f>
        <v/>
      </c>
      <c r="G31" s="145" t="str">
        <f>INDEX('San Collection - Oversize'!$L$12:$AM$33, MATCH($B$31,'San Collection - Oversize'!$A$12:$A$33,0),MATCH(G3,'San Collection - Oversize'!$L$10:$AM$10,0))</f>
        <v/>
      </c>
      <c r="H31" s="145" t="str">
        <f>INDEX('San Collection - Oversize'!$L$12:$AM$33, MATCH($B$31,'San Collection - Oversize'!$A$12:$A$33,0),MATCH(H3,'San Collection - Oversize'!$L$10:$AM$10,0))</f>
        <v/>
      </c>
      <c r="I31" s="145" t="str">
        <f>INDEX('San Collection - Oversize'!$L$12:$AM$33, MATCH($B$31,'San Collection - Oversize'!$A$12:$A$33,0),MATCH(I3,'San Collection - Oversize'!$L$10:$AM$10,0))</f>
        <v/>
      </c>
      <c r="J31" s="145" t="str">
        <f>INDEX('San Collection - Oversize'!$L$12:$AM$33, MATCH($B$31,'San Collection - Oversize'!$A$12:$A$33,0),MATCH(J3,'San Collection - Oversize'!$L$10:$AM$10,0))</f>
        <v/>
      </c>
      <c r="K31" s="145">
        <f>INDEX('San Collection - Oversize'!$L$12:$AM$33, MATCH($B$31,'San Collection - Oversize'!$A$12:$A$33,0),MATCH(K3,'San Collection - Oversize'!$L$10:$AM$10,0))</f>
        <v>113007.16591548327</v>
      </c>
      <c r="L31" s="145">
        <f>INDEX('San Collection - Oversize'!$L$12:$AM$33, MATCH($B$31,'San Collection - Oversize'!$A$12:$A$33,0),MATCH(L3,'San Collection - Oversize'!$L$10:$AM$10,0))</f>
        <v>115832.34506337035</v>
      </c>
      <c r="M31" s="145" t="str">
        <f>INDEX('San Collection - Oversize'!$L$12:$AM$33, MATCH($B$31,'San Collection - Oversize'!$A$12:$A$33,0),MATCH(M3,'San Collection - Oversize'!$L$10:$AM$10,0))</f>
        <v/>
      </c>
      <c r="N31" s="145" t="str">
        <f>INDEX('San Collection - Oversize'!$L$12:$AM$33, MATCH($B$31,'San Collection - Oversize'!$A$12:$A$33,0),MATCH(N3,'San Collection - Oversize'!$L$10:$AM$10,0))</f>
        <v/>
      </c>
      <c r="O31" s="145" t="str">
        <f>INDEX('San Collection - Oversize'!$L$12:$AM$33, MATCH($B$31,'San Collection - Oversize'!$A$12:$A$33,0),MATCH(O3,'San Collection - Oversize'!$L$10:$AM$10,0))</f>
        <v/>
      </c>
      <c r="P31" s="145" t="str">
        <f>INDEX('San Collection - Oversize'!$L$12:$AM$33, MATCH($B$31,'San Collection - Oversize'!$A$12:$A$33,0),MATCH(P3,'San Collection - Oversize'!$L$10:$AM$10,0))</f>
        <v/>
      </c>
      <c r="Q31" s="145" t="str">
        <f>INDEX('San Collection - Oversize'!$L$12:$AM$33, MATCH($B$31,'San Collection - Oversize'!$A$12:$A$33,0),MATCH(Q3,'San Collection - Oversize'!$L$10:$AM$10,0))</f>
        <v/>
      </c>
      <c r="R31" s="145" t="str">
        <f>INDEX('San Collection - Oversize'!$L$12:$AM$33, MATCH($B$31,'San Collection - Oversize'!$A$12:$A$33,0),MATCH(R3,'San Collection - Oversize'!$L$10:$AM$10,0))</f>
        <v/>
      </c>
      <c r="S31" s="145" t="str">
        <f>INDEX('San Collection - Oversize'!$L$12:$AM$33, MATCH($B$31,'San Collection - Oversize'!$A$12:$A$33,0),MATCH(S3,'San Collection - Oversize'!$L$10:$AM$10,0))</f>
        <v/>
      </c>
      <c r="T31" s="145" t="str">
        <f>INDEX('San Collection - Oversize'!$L$12:$AM$33, MATCH($B$31,'San Collection - Oversize'!$A$12:$A$33,0),MATCH(T3,'San Collection - Oversize'!$L$10:$AM$10,0))</f>
        <v/>
      </c>
      <c r="U31" s="145" t="str">
        <f>INDEX('San Collection - Oversize'!$L$12:$AM$33, MATCH($B$31,'San Collection - Oversize'!$A$12:$A$33,0),MATCH(U3,'San Collection - Oversize'!$L$10:$AM$10,0))</f>
        <v/>
      </c>
      <c r="V31" s="145" t="str">
        <f>INDEX('San Collection - Oversize'!$L$12:$AM$33, MATCH($B$31,'San Collection - Oversize'!$A$12:$A$33,0),MATCH(V3,'San Collection - Oversize'!$L$10:$AM$10,0))</f>
        <v/>
      </c>
      <c r="W31" s="145" t="str">
        <f>INDEX('San Collection - Oversize'!$L$12:$AM$33, MATCH($B$31,'San Collection - Oversize'!$A$12:$A$33,0),MATCH(W3,'San Collection - Oversize'!$L$10:$AM$10,0))</f>
        <v/>
      </c>
      <c r="X31" s="145" t="str">
        <f>INDEX('San Collection - Oversize'!$L$12:$AM$33, MATCH($B$31,'San Collection - Oversize'!$A$12:$A$33,0),MATCH(X3,'San Collection - Oversize'!$L$10:$AM$10,0))</f>
        <v/>
      </c>
      <c r="Y31" s="145" t="str">
        <f>INDEX('San Collection - Oversize'!$L$12:$AM$33, MATCH($B$31,'San Collection - Oversize'!$A$12:$A$33,0),MATCH(Y3,'San Collection - Oversize'!$L$10:$AM$10,0))</f>
        <v/>
      </c>
      <c r="Z31" s="145" t="str">
        <f>INDEX('San Collection - Oversize'!$L$12:$AM$33, MATCH($B$31,'San Collection - Oversize'!$A$12:$A$33,0),MATCH(Z3,'San Collection - Oversize'!$L$10:$AM$10,0))</f>
        <v/>
      </c>
      <c r="AA31" s="145" t="str">
        <f>INDEX('San Collection - Oversize'!$L$12:$AM$33, MATCH($B$31,'San Collection - Oversize'!$A$12:$A$33,0),MATCH(AA3,'San Collection - Oversize'!$L$10:$AM$10,0))</f>
        <v/>
      </c>
      <c r="AB31" s="145" t="str">
        <f>INDEX('San Collection - Oversize'!$L$12:$AM$33, MATCH($B$31,'San Collection - Oversize'!$A$12:$A$33,0),MATCH(AB3,'San Collection - Oversize'!$L$10:$AM$10,0))</f>
        <v/>
      </c>
      <c r="AC31" s="145" t="str">
        <f>INDEX('San Collection - Oversize'!$L$12:$AM$33, MATCH($B$31,'San Collection - Oversize'!$A$12:$A$33,0),MATCH(AC3,'San Collection - Oversize'!$L$10:$AM$10,0))</f>
        <v/>
      </c>
      <c r="AD31" s="145" t="str">
        <f>INDEX('San Collection - Oversize'!$L$12:$AM$33, MATCH($B$31,'San Collection - Oversize'!$A$12:$A$33,0),MATCH(AD3,'San Collection - Oversize'!$L$10:$AM$10,0))</f>
        <v/>
      </c>
      <c r="AE31" s="145" t="str">
        <f>INDEX('San Collection - Oversize'!$L$12:$AM$33, MATCH($B$31,'San Collection - Oversize'!$A$12:$A$33,0),MATCH(AE3,'San Collection - Oversize'!$L$10:$AM$10,0))</f>
        <v/>
      </c>
      <c r="AF31" s="690">
        <f>SUM(C31:AC31)</f>
        <v>228839.51097885362</v>
      </c>
    </row>
    <row r="32" spans="1:32">
      <c r="A32" s="631"/>
      <c r="B32" s="141"/>
      <c r="C32" s="125"/>
      <c r="D32" s="125"/>
      <c r="E32" s="125"/>
      <c r="F32" s="125"/>
      <c r="G32" s="125"/>
      <c r="H32" s="125"/>
      <c r="I32" s="125"/>
      <c r="J32" s="125"/>
      <c r="K32" s="125" cm="1">
        <f t="array" ref="K32">_xlfn.LET(_xlpm.x, K5-SUM($D$7:K7)-SUM($D$9:K9)-SUM($D$11:K11)-SUM($D$13:K13)-SUM($D$15:K15)-SUM($D$17:K17)-SUM($D$19:K19)-SUM($D$21:K21)-SUM($D$23:K23)-SUM($D$25:K25)-SUM($D$27:K27)-SUM($D$29:K29)-SUM($D$31:K31),IF(OR(_xlpm.x&lt;0, INDEX(J:J,ROW()-1)&lt;0), _xlpm.x, 0))</f>
        <v>-1676816.699820468</v>
      </c>
      <c r="L32" s="125" cm="1">
        <f t="array" ref="L32">_xlfn.LET(_xlpm.x, L5-SUM($D$7:L7)-SUM($D$9:L9)-SUM($D$11:L11)-SUM($D$13:L13)-SUM($D$15:L15)-SUM($D$17:L17)-SUM($D$19:L19)-SUM($D$21:L21)-SUM($D$23:L23)-SUM($D$25:L25)-SUM($D$27:L27)-SUM($D$29:L29)-SUM($D$31:L31),IF(OR(_xlpm.x&lt;0, INDEX(K:K,ROW()-1)&lt;0), _xlpm.x, 0))</f>
        <v>-1415156.2629109516</v>
      </c>
      <c r="M32" s="125" cm="1">
        <f t="array" ref="M32">_xlfn.LET(_xlpm.x, M5-SUM($D$7:M7)-SUM($D$9:M9)-SUM($D$11:M11)-SUM($D$13:M13)-SUM($D$15:M15)-SUM($D$17:M17)-SUM($D$19:M19)-SUM($D$21:M21)-SUM($D$23:M23)-SUM($D$25:M25)-SUM($D$27:M27)-SUM($D$29:M29)-SUM($D$31:M31),IF(OR(_xlpm.x&lt;0, INDEX(L:L,ROW()-1)&lt;0), _xlpm.x, 0))</f>
        <v>-1030113.6252986076</v>
      </c>
      <c r="N32" s="125" cm="1">
        <f t="array" ref="N32">_xlfn.LET(_xlpm.x, N5-SUM($D$7:N7)-SUM($D$9:N9)-SUM($D$11:N11)-SUM($D$13:N13)-SUM($D$15:N15)-SUM($D$17:N17)-SUM($D$19:N19)-SUM($D$21:N21)-SUM($D$23:N23)-SUM($D$25:N25)-SUM($D$27:N27)-SUM($D$29:N29)-SUM($D$31:N31),IF(OR(_xlpm.x&lt;0, INDEX(M:M,ROW()-1)&lt;0), _xlpm.x, 0))</f>
        <v>-637370.13493401674</v>
      </c>
      <c r="O32" s="125" cm="1">
        <f t="array" ref="O32">_xlfn.LET(_xlpm.x, O5-SUM($D$7:O7)-SUM($D$9:O9)-SUM($D$11:O11)-SUM($D$13:O13)-SUM($D$15:O15)-SUM($D$17:O17)-SUM($D$19:O19)-SUM($D$21:O21)-SUM($D$23:O23)-SUM($D$25:O25)-SUM($D$27:O27)-SUM($D$29:O29)-SUM($D$31:O31),IF(OR(_xlpm.x&lt;0, INDEX(N:N,ROW()-1)&lt;0), _xlpm.x, 0))</f>
        <v>-236771.77476213389</v>
      </c>
      <c r="P32" s="345" cm="1">
        <f t="array" ref="P32">_xlfn.LET(_xlpm.x, P5-SUM($D$7:P7)-SUM($D$9:P9)-SUM($D$11:P11)-SUM($D$13:P13)-SUM($D$15:P15)-SUM($D$17:P17)-SUM($D$19:P19)-SUM($D$21:P21)-SUM($D$23:P23)-SUM($D$25:P25)-SUM($D$27:P27)-SUM($D$29:P29)-SUM($D$31:P31),IF(OR(_xlpm.x&lt;0, INDEX(O:O,ROW()-1)&lt;0), _xlpm.x, 0))</f>
        <v>0</v>
      </c>
      <c r="Q32" s="125" cm="1">
        <f t="array" ref="Q32">_xlfn.LET(_xlpm.x, Q5-SUM($D$7:Q7)-SUM($D$9:Q9)-SUM($D$11:Q11)-SUM($D$13:Q13)-SUM($D$15:Q15)-SUM($D$17:Q17)-SUM($D$19:Q19)-SUM($D$21:Q21)-SUM($D$23:Q23)-SUM($D$25:Q25)-SUM($D$27:Q27)-SUM($D$29:Q29)-SUM($D$31:Q31),IF(OR(_xlpm.x&lt;0, INDEX(P:P,ROW()-1)&lt;0), _xlpm.x, 0))</f>
        <v>0</v>
      </c>
      <c r="R32" s="125" cm="1">
        <f t="array" ref="R32">_xlfn.LET(_xlpm.x, R5-SUM($D$7:R7)-SUM($D$9:R9)-SUM($D$11:R11)-SUM($D$13:R13)-SUM($D$15:R15)-SUM($D$17:R17)-SUM($D$19:R19)-SUM($D$21:R21)-SUM($D$23:R23)-SUM($D$25:R25)-SUM($D$27:R27)-SUM($D$29:R29)-SUM($D$31:R31)+R28,IF(OR(_xlpm.x&lt;0, INDEX(Q:Q,ROW()-1)&lt;0), _xlpm.x, 0))</f>
        <v>0</v>
      </c>
      <c r="S32" s="125" cm="1">
        <f t="array" ref="S32">_xlfn.LET(_xlpm.x, S5-SUM($D$7:S7)-SUM($D$9:S9)-SUM($D$11:S11)-SUM($D$13:S13)-SUM($D$15:S15)-SUM($D$17:S17)-SUM($D$19:S19)-SUM($D$21:S21)-SUM($D$23:S23)-SUM($D$25:S25)-SUM($D$27:S27)-SUM($D$29:S29)-SUM($D$31:S31)+S28,IF(OR(_xlpm.x&lt;0, INDEX(R:R,ROW()-1)&lt;0), _xlpm.x, 0))</f>
        <v>0</v>
      </c>
      <c r="T32" s="125" cm="1">
        <f t="array" ref="T32">_xlfn.LET(_xlpm.x, T5-SUM($D$7:T7)-SUM($D$9:T9)-SUM($D$11:T11)-SUM($D$13:T13)-SUM($D$15:T15)-SUM($D$17:T17)-SUM($D$19:T19)-SUM($D$21:T21)-SUM($D$23:T23)-SUM($D$25:T25)-SUM($D$27:T27)-SUM($D$29:T29)-SUM($D$31:T31)+T28,IF(OR(_xlpm.x&lt;0, INDEX(S:S,ROW()-1)&lt;0), _xlpm.x, 0))</f>
        <v>0</v>
      </c>
      <c r="U32" s="125" cm="1">
        <f t="array" ref="U32">_xlfn.LET(_xlpm.x, U5-SUM($D$7:U7)-SUM($D$9:U9)-SUM($D$11:U11)-SUM($D$13:U13)-SUM($D$15:U15)-SUM($D$17:U17)-SUM($D$19:U19)-SUM($D$21:U21)-SUM($D$23:U23)-SUM($D$25:U25)-SUM($D$27:U27)-SUM($D$29:U29)-SUM($D$31:U31)+U28,IF(OR(_xlpm.x&lt;0, INDEX(T:T,ROW()-1)&lt;0), _xlpm.x, 0))</f>
        <v>0</v>
      </c>
      <c r="V32" s="125" cm="1">
        <f t="array" ref="V32">_xlfn.LET(_xlpm.x, V5-SUM($D$7:V7)-SUM($D$9:V9)-SUM($D$11:V11)-SUM($D$13:V13)-SUM($D$15:V15)-SUM($D$17:V17)-SUM($D$19:V19)-SUM($D$21:V21)-SUM($D$23:V23)-SUM($D$25:V25)-SUM($D$27:V27)-SUM($D$29:V29)-SUM($D$31:V31)+V28,IF(OR(_xlpm.x&lt;0, INDEX(U:U,ROW()-1)&lt;0), _xlpm.x, 0))</f>
        <v>0</v>
      </c>
      <c r="W32" s="125" cm="1">
        <f t="array" ref="W32">_xlfn.LET(_xlpm.x, W5-SUM($D$7:W7)-SUM($D$9:W9)-SUM($D$11:W11)-SUM($D$13:W13)-SUM($D$15:W15)-SUM($D$17:W17)-SUM($D$19:W19)-SUM($D$21:W21)-SUM($D$23:W23)-SUM($D$25:W25)-SUM($D$27:W27)-SUM($D$29:W29)-SUM($D$31:W31)+W28,IF(OR(_xlpm.x&lt;0, INDEX(V:V,ROW()-1)&lt;0), _xlpm.x, 0))</f>
        <v>0</v>
      </c>
      <c r="X32" s="125" cm="1">
        <f t="array" ref="X32">_xlfn.LET(_xlpm.x, X5-SUM($D$7:X7)-SUM($D$9:X9)-SUM($D$11:X11)-SUM($D$13:X13)-SUM($D$15:X15)-SUM($D$17:X17)-SUM($D$19:X19)-SUM($D$21:X21)-SUM($D$23:X23)-SUM($D$25:X25)-SUM($D$27:X27)-SUM($D$29:X29)-SUM($D$31:X31)+X28,IF(OR(_xlpm.x&lt;0, INDEX(W:W,ROW()-1)&lt;0), _xlpm.x, 0))</f>
        <v>0</v>
      </c>
      <c r="Y32" s="125"/>
      <c r="Z32" s="125"/>
      <c r="AA32" s="125"/>
      <c r="AB32" s="125"/>
      <c r="AC32" s="125"/>
      <c r="AD32" s="125"/>
      <c r="AE32" s="125"/>
    </row>
    <row r="33" spans="1:32">
      <c r="A33" s="144" t="s">
        <v>279</v>
      </c>
      <c r="B33" s="144">
        <v>68</v>
      </c>
      <c r="C33" s="145" t="s">
        <v>118</v>
      </c>
      <c r="D33" s="145" t="str">
        <f>INDEX('San Collection - Oversize'!$L$12:$AM$33, MATCH($B$33,'San Collection - Oversize'!$A$12:$A$33,0),MATCH(D3,'San Collection - Oversize'!$L$10:$AM$10,0))</f>
        <v/>
      </c>
      <c r="E33" s="145" t="str">
        <f>INDEX('San Collection - Oversize'!$L$12:$AM$33, MATCH($B$33,'San Collection - Oversize'!$A$12:$A$33,0),MATCH(E3,'San Collection - Oversize'!$L$10:$AM$10,0))</f>
        <v/>
      </c>
      <c r="F33" s="145" t="str">
        <f>INDEX('San Collection - Oversize'!$L$12:$AM$33, MATCH($B$33,'San Collection - Oversize'!$A$12:$A$33,0),MATCH(F3,'San Collection - Oversize'!$L$10:$AM$10,0))</f>
        <v/>
      </c>
      <c r="G33" s="145" t="str">
        <f>INDEX('San Collection - Oversize'!$L$12:$AM$33, MATCH($B$33,'San Collection - Oversize'!$A$12:$A$33,0),MATCH(G3,'San Collection - Oversize'!$L$10:$AM$10,0))</f>
        <v/>
      </c>
      <c r="H33" s="145" t="str">
        <f>INDEX('San Collection - Oversize'!$L$12:$AM$33, MATCH($B$33,'San Collection - Oversize'!$A$12:$A$33,0),MATCH(H3,'San Collection - Oversize'!$L$10:$AM$10,0))</f>
        <v/>
      </c>
      <c r="I33" s="145" t="str">
        <f>INDEX('San Collection - Oversize'!$L$12:$AM$33, MATCH($B$33,'San Collection - Oversize'!$A$12:$A$33,0),MATCH(I3,'San Collection - Oversize'!$L$10:$AM$10,0))</f>
        <v/>
      </c>
      <c r="J33" s="145" t="str">
        <f>INDEX('San Collection - Oversize'!$L$12:$AM$33, MATCH($B$33,'San Collection - Oversize'!$A$12:$A$33,0),MATCH(J3,'San Collection - Oversize'!$L$10:$AM$10,0))</f>
        <v/>
      </c>
      <c r="K33" s="145" t="str">
        <f>INDEX('San Collection - Oversize'!$L$12:$AM$33, MATCH($B$33,'San Collection - Oversize'!$A$12:$A$33,0),MATCH(K3,'San Collection - Oversize'!$L$10:$AM$10,0))</f>
        <v/>
      </c>
      <c r="L33" s="145">
        <f>INDEX('San Collection - Oversize'!$L$12:$AM$33, MATCH($B$33,'San Collection - Oversize'!$A$12:$A$33,0),MATCH(L3,'San Collection - Oversize'!$L$10:$AM$10,0))</f>
        <v>3004098.2200600505</v>
      </c>
      <c r="M33" s="145">
        <f>INDEX('San Collection - Oversize'!$L$12:$AM$33, MATCH($B$33,'San Collection - Oversize'!$A$12:$A$33,0),MATCH(M3,'San Collection - Oversize'!$L$10:$AM$10,0))</f>
        <v>3079200.6755615515</v>
      </c>
      <c r="N33" s="145" t="str">
        <f>INDEX('San Collection - Oversize'!$L$12:$AM$33, MATCH($B$33,'San Collection - Oversize'!$A$12:$A$33,0),MATCH(N3,'San Collection - Oversize'!$L$10:$AM$10,0))</f>
        <v/>
      </c>
      <c r="O33" s="145" t="str">
        <f>INDEX('San Collection - Oversize'!$L$12:$AM$33, MATCH($B$33,'San Collection - Oversize'!$A$12:$A$33,0),MATCH(O3,'San Collection - Oversize'!$L$10:$AM$10,0))</f>
        <v/>
      </c>
      <c r="P33" s="145" t="str">
        <f>INDEX('San Collection - Oversize'!$L$12:$AM$33, MATCH($B$33,'San Collection - Oversize'!$A$12:$A$33,0),MATCH(P3,'San Collection - Oversize'!$L$10:$AM$10,0))</f>
        <v/>
      </c>
      <c r="Q33" s="145" t="str">
        <f>INDEX('San Collection - Oversize'!$L$12:$AM$33, MATCH($B$33,'San Collection - Oversize'!$A$12:$A$33,0),MATCH(Q3,'San Collection - Oversize'!$L$10:$AM$10,0))</f>
        <v/>
      </c>
      <c r="R33" s="145" t="str">
        <f>INDEX('San Collection - Oversize'!$L$12:$AM$33, MATCH($B$33,'San Collection - Oversize'!$A$12:$A$33,0),MATCH(R3,'San Collection - Oversize'!$L$10:$AM$10,0))</f>
        <v/>
      </c>
      <c r="S33" s="145" t="str">
        <f>INDEX('San Collection - Oversize'!$L$12:$AM$33, MATCH($B$33,'San Collection - Oversize'!$A$12:$A$33,0),MATCH(S3,'San Collection - Oversize'!$L$10:$AM$10,0))</f>
        <v/>
      </c>
      <c r="T33" s="145" t="str">
        <f>INDEX('San Collection - Oversize'!$L$12:$AM$33, MATCH($B$33,'San Collection - Oversize'!$A$12:$A$33,0),MATCH(T3,'San Collection - Oversize'!$L$10:$AM$10,0))</f>
        <v/>
      </c>
      <c r="U33" s="145" t="str">
        <f>INDEX('San Collection - Oversize'!$L$12:$AM$33, MATCH($B$33,'San Collection - Oversize'!$A$12:$A$33,0),MATCH(U3,'San Collection - Oversize'!$L$10:$AM$10,0))</f>
        <v/>
      </c>
      <c r="V33" s="145" t="str">
        <f>INDEX('San Collection - Oversize'!$L$12:$AM$33, MATCH($B$33,'San Collection - Oversize'!$A$12:$A$33,0),MATCH(V3,'San Collection - Oversize'!$L$10:$AM$10,0))</f>
        <v/>
      </c>
      <c r="W33" s="145" t="str">
        <f>INDEX('San Collection - Oversize'!$L$12:$AM$33, MATCH($B$33,'San Collection - Oversize'!$A$12:$A$33,0),MATCH(W3,'San Collection - Oversize'!$L$10:$AM$10,0))</f>
        <v/>
      </c>
      <c r="X33" s="145" t="str">
        <f>INDEX('San Collection - Oversize'!$L$12:$AM$33, MATCH($B$33,'San Collection - Oversize'!$A$12:$A$33,0),MATCH(X3,'San Collection - Oversize'!$L$10:$AM$10,0))</f>
        <v/>
      </c>
      <c r="Y33" s="145" t="str">
        <f>INDEX('San Collection - Oversize'!$L$12:$AM$33, MATCH($B$33,'San Collection - Oversize'!$A$12:$A$33,0),MATCH(Y3,'San Collection - Oversize'!$L$10:$AM$10,0))</f>
        <v/>
      </c>
      <c r="Z33" s="145" t="str">
        <f>INDEX('San Collection - Oversize'!$L$12:$AM$33, MATCH($B$33,'San Collection - Oversize'!$A$12:$A$33,0),MATCH(Z3,'San Collection - Oversize'!$L$10:$AM$10,0))</f>
        <v/>
      </c>
      <c r="AA33" s="145" t="str">
        <f>INDEX('San Collection - Oversize'!$L$12:$AM$33, MATCH($B$33,'San Collection - Oversize'!$A$12:$A$33,0),MATCH(AA3,'San Collection - Oversize'!$L$10:$AM$10,0))</f>
        <v/>
      </c>
      <c r="AB33" s="145" t="str">
        <f>INDEX('San Collection - Oversize'!$L$12:$AM$33, MATCH($B$33,'San Collection - Oversize'!$A$12:$A$33,0),MATCH(AB3,'San Collection - Oversize'!$L$10:$AM$10,0))</f>
        <v/>
      </c>
      <c r="AC33" s="145" t="str">
        <f>INDEX('San Collection - Oversize'!$L$12:$AM$33, MATCH($B$33,'San Collection - Oversize'!$A$12:$A$33,0),MATCH(AC3,'San Collection - Oversize'!$L$10:$AM$10,0))</f>
        <v/>
      </c>
      <c r="AD33" s="145" t="str">
        <f>INDEX('San Collection - Oversize'!$L$12:$AM$33, MATCH($B$33,'San Collection - Oversize'!$A$12:$A$33,0),MATCH(AD3,'San Collection - Oversize'!$L$10:$AM$10,0))</f>
        <v/>
      </c>
      <c r="AE33" s="145" t="str">
        <f>INDEX('San Collection - Oversize'!$L$12:$AM$33, MATCH($B$33,'San Collection - Oversize'!$A$12:$A$33,0),MATCH(AE3,'San Collection - Oversize'!$L$10:$AM$10,0))</f>
        <v/>
      </c>
      <c r="AF33" s="690">
        <f>SUM(C33:AC33)</f>
        <v>6083298.8956216015</v>
      </c>
    </row>
    <row r="34" spans="1:32">
      <c r="A34" s="631"/>
      <c r="B34" s="141"/>
      <c r="C34" s="125"/>
      <c r="D34" s="125"/>
      <c r="E34" s="125"/>
      <c r="F34" s="125"/>
      <c r="G34" s="125"/>
      <c r="H34" s="125"/>
      <c r="I34" s="125"/>
      <c r="J34" s="125"/>
      <c r="K34" s="125"/>
      <c r="L34" s="125" cm="1">
        <f t="array" ref="L34">_xlfn.LET(_xlpm.x, L5-SUM($D$7:L7)-SUM($D$9:L9)-SUM($D$11:L11)-SUM($D$13:L13)-SUM($D$15:L15)-SUM($D$17:L17)-SUM($D$19:L19)-SUM($D$21:L21)-SUM($D$23:L23)-SUM($D$25:L25)-SUM($D$27:L27)-SUM($D$29:L29)-SUM($D$31:L31)-SUM($D$33:L33),IF(OR(_xlpm.x&lt;0, INDEX(K:K,ROW()-1)&lt;0), _xlpm.x, 0))</f>
        <v>-4419254.4829710023</v>
      </c>
      <c r="M34" s="125" cm="1">
        <f t="array" ref="M34">_xlfn.LET(_xlpm.x, M5-SUM($D$7:M7)-SUM($D$9:M9)-SUM($D$11:M11)-SUM($D$13:M13)-SUM($D$15:M15)-SUM($D$17:M17)-SUM($D$19:M19)-SUM($D$21:M21)-SUM($D$23:M23)-SUM($D$25:M25)-SUM($D$27:M27)-SUM($D$29:M29)-SUM($D$31:M31)-SUM($D$33:M33),IF(OR(_xlpm.x&lt;0, INDEX(L:L,ROW()-1)&lt;0), _xlpm.x, 0))</f>
        <v>-7113412.5209202096</v>
      </c>
      <c r="N34" s="125" cm="1">
        <f t="array" ref="N34">_xlfn.LET(_xlpm.x, N5-SUM($D$7:N7)-SUM($D$9:N9)-SUM($D$11:N11)-SUM($D$13:N13)-SUM($D$15:N15)-SUM($D$17:N17)-SUM($D$19:N19)-SUM($D$21:N21)-SUM($D$23:N23)-SUM($D$25:N25)-SUM($D$27:N27)-SUM($D$29:N29)-SUM($D$31:N31)-SUM($D$33:N33),IF(OR(_xlpm.x&lt;0, INDEX(M:M,ROW()-1)&lt;0), _xlpm.x, 0))</f>
        <v>-6720669.030555618</v>
      </c>
      <c r="O34" s="125" cm="1">
        <f t="array" ref="O34">_xlfn.LET(_xlpm.x, O5-SUM($D$7:O7)-SUM($D$9:O9)-SUM($D$11:O11)-SUM($D$13:O13)-SUM($D$15:O15)-SUM($D$17:O17)-SUM($D$19:O19)-SUM($D$21:O21)-SUM($D$23:O23)-SUM($D$25:O25)-SUM($D$27:O27)-SUM($D$29:O29)-SUM($D$31:O31)-SUM($D$33:O33),IF(OR(_xlpm.x&lt;0, INDEX(N:N,ROW()-1)&lt;0), _xlpm.x, 0))</f>
        <v>-6320070.6703837356</v>
      </c>
      <c r="P34" s="125" cm="1">
        <f t="array" ref="P34">_xlfn.LET(_xlpm.x, P5-SUM($D$7:P7)-SUM($D$9:P9)-SUM($D$11:P11)-SUM($D$13:P13)-SUM($D$15:P15)-SUM($D$17:P17)-SUM($D$19:P19)-SUM($D$21:P21)-SUM($D$23:P23)-SUM($D$25:P25)-SUM($D$27:P27)-SUM($D$29:P29)-SUM($D$31:P31)-SUM($D$33:P33),IF(OR(_xlpm.x&lt;0, INDEX(O:O,ROW()-1)&lt;0), _xlpm.x, 0))</f>
        <v>-5911460.3430084148</v>
      </c>
      <c r="Q34" s="125" cm="1">
        <f t="array" ref="Q34">_xlfn.LET(_xlpm.x, Q5-SUM($D$7:Q7)-SUM($D$9:Q9)-SUM($D$11:Q11)-SUM($D$13:Q13)-SUM($D$15:Q15)-SUM($D$17:Q17)-SUM($D$19:Q19)-SUM($D$21:Q21)-SUM($D$23:Q23)-SUM($D$25:Q25)-SUM($D$27:Q27)-SUM($D$29:Q29)-SUM($D$31:Q31)-SUM($D$33:Q33),IF(OR(_xlpm.x&lt;0, INDEX(P:P,ROW()-1)&lt;0), _xlpm.x, 0))</f>
        <v>-5494677.809085588</v>
      </c>
      <c r="R34" s="125" cm="1">
        <f t="array" ref="R34">_xlfn.LET(_xlpm.x, R5-SUM($D$7:R7)-SUM($D$9:R9)-SUM($D$11:R11)-SUM($D$13:R13)-SUM($D$15:R15)-SUM($D$17:R17)-SUM($D$19:R19)-SUM($D$21:R21)-SUM($D$23:R23)-SUM($D$25:R25)-SUM($D$27:R27)-SUM($D$29:R29)-SUM($D$31:R31)-SUM($D$33:R33),IF(OR(_xlpm.x&lt;0, INDEX(Q:Q,ROW()-1)&lt;0), _xlpm.x, 0))</f>
        <v>-5069559.6244843043</v>
      </c>
      <c r="S34" s="125" cm="1">
        <f t="array" ref="S34">_xlfn.LET(_xlpm.x, S5-SUM($D$7:S7)-SUM($D$9:S9)-SUM($D$11:S11)-SUM($D$13:S13)-SUM($D$15:S15)-SUM($D$17:S17)-SUM($D$19:S19)-SUM($D$21:S21)-SUM($D$23:S23)-SUM($D$25:S25)-SUM($D$27:S27)-SUM($D$29:S29)-SUM($D$31:S31)-SUM($D$33:S33),IF(OR(_xlpm.x&lt;0, INDEX(R:R,ROW()-1)&lt;0), _xlpm.x, 0))</f>
        <v>-4635939.0761909941</v>
      </c>
      <c r="T34" s="125" cm="1">
        <f t="array" ref="T34">_xlfn.LET(_xlpm.x, T5-SUM($D$7:T7)-SUM($D$9:T9)-SUM($D$11:T11)-SUM($D$13:T13)-SUM($D$15:T15)-SUM($D$17:T17)-SUM($D$19:T19)-SUM($D$21:T21)-SUM($D$23:T23)-SUM($D$25:T25)-SUM($D$27:T27)-SUM($D$29:T29)-SUM($D$31:T31)-SUM($D$33:T33),IF(OR(_xlpm.x&lt;0, INDEX(S:S,ROW()-1)&lt;0), _xlpm.x, 0))</f>
        <v>-4193646.1169318184</v>
      </c>
      <c r="U34" s="125" cm="1">
        <f t="array" ref="U34">_xlfn.LET(_xlpm.x, U5-SUM($D$7:U7)-SUM($D$9:U9)-SUM($D$11:U11)-SUM($D$13:U13)-SUM($D$15:U15)-SUM($D$17:U17)-SUM($D$19:U19)-SUM($D$21:U21)-SUM($D$23:U23)-SUM($D$25:U25)-SUM($D$27:U27)-SUM($D$29:U29)-SUM($D$31:U31)-SUM($D$33:U33),IF(OR(_xlpm.x&lt;0, INDEX(T:T,ROW()-1)&lt;0), _xlpm.x, 0))</f>
        <v>-3742507.2984874598</v>
      </c>
      <c r="V34" s="125" cm="1">
        <f t="array" ref="V34">_xlfn.LET(_xlpm.x, V5-SUM($D$7:V7)-SUM($D$9:V9)-SUM($D$11:V11)-SUM($D$13:V13)-SUM($D$15:V15)-SUM($D$17:V17)-SUM($D$19:V19)-SUM($D$21:V21)-SUM($D$23:V23)-SUM($D$25:V25)-SUM($D$27:V27)-SUM($D$29:V29)-SUM($D$31:V31)-SUM($D$33:V33),IF(OR(_xlpm.x&lt;0, INDEX(U:U,ROW()-1)&lt;0), _xlpm.x, 0))</f>
        <v>-3282345.7036742135</v>
      </c>
      <c r="W34" s="125" cm="1">
        <f t="array" ref="W34">_xlfn.LET(_xlpm.x, W5-SUM($D$7:W7)-SUM($D$9:W9)-SUM($D$11:W11)-SUM($D$13:W13)-SUM($D$15:W15)-SUM($D$17:W17)-SUM($D$19:W19)-SUM($D$21:W21)-SUM($D$23:W23)-SUM($D$25:W25)-SUM($D$27:W27)-SUM($D$29:W29)-SUM($D$31:W31)-SUM($D$33:W33),IF(OR(_xlpm.x&lt;0, INDEX(V:V,ROW()-1)&lt;0), _xlpm.x, 0))</f>
        <v>-2812980.8769647027</v>
      </c>
      <c r="X34" s="125" cm="1">
        <f t="array" ref="X34">_xlfn.LET(_xlpm.x, X5-SUM($D$7:X7)-SUM($D$9:X9)-SUM($D$11:X11)-SUM($D$13:X13)-SUM($D$15:X15)-SUM($D$17:X17)-SUM($D$19:X19)-SUM($D$21:X21)-SUM($D$23:X23)-SUM($D$25:X25)-SUM($D$27:X27)-SUM($D$29:X29)-SUM($D$31:X31)-SUM($D$33:X33),IF(OR(_xlpm.x&lt;0, INDEX(W:W,ROW()-1)&lt;0), _xlpm.x, 0))</f>
        <v>-2334228.7537210011</v>
      </c>
      <c r="Y34" s="125" cm="1">
        <f t="array" ref="Y34">_xlfn.LET(_xlpm.x, Y5-SUM($D$7:Y7)-SUM($D$9:Y9)-SUM($D$11:Y11)-SUM($D$13:Y13)-SUM($D$15:Y15)-SUM($D$17:Y17)-SUM($D$19:Y19)-SUM($D$21:Y21)-SUM($D$23:Y23)-SUM($D$25:Y25)-SUM($D$27:Y27)-SUM($D$29:Y29)-SUM($D$31:Y31)-SUM($D$33:Y33),IF(OR(_xlpm.x&lt;0, INDEX(X:X,ROW()-1)&lt;0), _xlpm.x, 0))</f>
        <v>-1845901.5880124252</v>
      </c>
      <c r="Z34" s="125" cm="1">
        <f t="array" ref="Z34">_xlfn.LET(_xlpm.x, Z5-SUM($D$7:Z7)-SUM($D$9:Z9)-SUM($D$11:Z11)-SUM($D$13:Z13)-SUM($D$15:Z15)-SUM($D$17:Z17)-SUM($D$19:Z19)-SUM($D$21:Z21)-SUM($D$23:Z23)-SUM($D$25:Z25)-SUM($D$27:Z27)-SUM($D$29:Z29)-SUM($D$31:Z31)-SUM($D$33:Z33),IF(OR(_xlpm.x&lt;0, INDEX(Y:Y,ROW()-1)&lt;0), _xlpm.x, 0))</f>
        <v>-1347807.8789896779</v>
      </c>
      <c r="AA34" s="125" cm="1">
        <f t="array" ref="AA34">_xlfn.LET(_xlpm.x, AA5-SUM($D$7:AA7)-SUM($D$9:AA9)-SUM($D$11:AA11)-SUM($D$13:AA13)-SUM($D$15:AA15)-SUM($D$17:AA17)-SUM($D$19:AA19)-SUM($D$21:AA21)-SUM($D$23:AA23)-SUM($D$25:AA25)-SUM($D$27:AA27)-SUM($D$29:AA29)-SUM($D$31:AA31)-SUM($D$33:AA33),IF(OR(_xlpm.x&lt;0, INDEX(Z:Z,ROW()-1)&lt;0), _xlpm.x, 0))</f>
        <v>-839752.29578647576</v>
      </c>
      <c r="AB34" s="125" cm="1">
        <f t="array" ref="AB34">_xlfn.LET(_xlpm.x, AB5-SUM($D$7:AB7)-SUM($D$9:AB9)-SUM($D$11:AB11)-SUM($D$13:AB13)-SUM($D$15:AB15)-SUM($D$17:AB17)-SUM($D$19:AB19)-SUM($D$21:AB21)-SUM($D$23:AB23)-SUM($D$25:AB25)-SUM($D$27:AB27)-SUM($D$29:AB29)-SUM($D$31:AB31)-SUM($D$33:AB33),IF(OR(_xlpm.x&lt;0, INDEX(AA:AA,ROW()-1)&lt;0), _xlpm.x, 0))</f>
        <v>-321535.60091920942</v>
      </c>
      <c r="AC34" s="345" cm="1">
        <f t="array" ref="AC34">_xlfn.LET(_xlpm.x, AC5-SUM($D$7:AC7)-SUM($D$9:AC9)-SUM($D$11:AC11)-SUM($D$13:AC13)-SUM($D$15:AC15)-SUM($D$17:AC17)-SUM($D$19:AC19)-SUM($D$21:AC21)-SUM($D$23:AC23)-SUM($D$25:AC25)-SUM($D$27:AC27)-SUM($D$29:AC29)-SUM($D$31:AC31)-SUM($D$33:AC33),IF(OR(_xlpm.x&lt;0, INDEX(AB:AB,ROW()-1)&lt;0), _xlpm.x, 0))</f>
        <v>0</v>
      </c>
      <c r="AD34" s="125" cm="1">
        <f t="array" ref="AD34">_xlfn.LET(_xlpm.x, AD5-SUM($D$7:AD7)-SUM($D$9:AD9)-SUM($D$11:AD11)-SUM($D$13:AD13)-SUM($D$15:AD15)-SUM($D$17:AD17)-SUM($D$19:AD19)-SUM($D$21:AD21)-SUM($D$23:AD23)-SUM($D$25:AD25)-SUM($D$27:AD27)-SUM($D$29:AD29)-SUM($D$31:AD31)-SUM($D$33:AD33),IF(OR(_xlpm.x&lt;0, INDEX(AC:AC,ROW()-1)&lt;0), _xlpm.x, 0))</f>
        <v>0</v>
      </c>
      <c r="AE34" s="125" cm="1">
        <f t="array" ref="AE34">_xlfn.LET(_xlpm.x, AE5-SUM($D$7:AE7)-SUM($D$9:AE9)-SUM($D$11:AE11)-SUM($D$13:AE13)-SUM($D$15:AE15)-SUM($D$17:AE17)-SUM($D$19:AE19)-SUM($D$21:AE21)-SUM($D$23:AE23)-SUM($D$25:AE25)-SUM($D$27:AE27)-SUM($D$29:AE29)-SUM($D$31:AE31)-SUM($D$33:AE33),IF(OR(_xlpm.x&lt;0, INDEX(AD:AD,ROW()-1)&lt;0), _xlpm.x, 0))</f>
        <v>0</v>
      </c>
    </row>
    <row r="35" spans="1:32">
      <c r="A35" s="144" t="s">
        <v>279</v>
      </c>
      <c r="B35" s="144">
        <v>42</v>
      </c>
      <c r="C35" s="145" t="s">
        <v>118</v>
      </c>
      <c r="D35" s="145" t="str">
        <f>INDEX('San Collection - Oversize'!$L$12:$AM$33, MATCH($B$35,'San Collection - Oversize'!$A$12:$A$33,0),MATCH(D3,'San Collection - Oversize'!$L$10:$AM$10,0))</f>
        <v/>
      </c>
      <c r="E35" s="145" t="str">
        <f>INDEX('San Collection - Oversize'!$L$12:$AM$33, MATCH($B$35,'San Collection - Oversize'!$A$12:$A$33,0),MATCH(E3,'San Collection - Oversize'!$L$10:$AM$10,0))</f>
        <v/>
      </c>
      <c r="F35" s="145" t="str">
        <f>INDEX('San Collection - Oversize'!$L$12:$AM$33, MATCH($B$35,'San Collection - Oversize'!$A$12:$A$33,0),MATCH(F3,'San Collection - Oversize'!$L$10:$AM$10,0))</f>
        <v/>
      </c>
      <c r="G35" s="145" t="str">
        <f>INDEX('San Collection - Oversize'!$L$12:$AM$33, MATCH($B$35,'San Collection - Oversize'!$A$12:$A$33,0),MATCH(G3,'San Collection - Oversize'!$L$10:$AM$10,0))</f>
        <v/>
      </c>
      <c r="H35" s="145" t="str">
        <f>INDEX('San Collection - Oversize'!$L$12:$AM$33, MATCH($B$35,'San Collection - Oversize'!$A$12:$A$33,0),MATCH(H3,'San Collection - Oversize'!$L$10:$AM$10,0))</f>
        <v/>
      </c>
      <c r="I35" s="145" t="str">
        <f>INDEX('San Collection - Oversize'!$L$12:$AM$33, MATCH($B$35,'San Collection - Oversize'!$A$12:$A$33,0),MATCH(I3,'San Collection - Oversize'!$L$10:$AM$10,0))</f>
        <v/>
      </c>
      <c r="J35" s="145" t="str">
        <f>INDEX('San Collection - Oversize'!$L$12:$AM$33, MATCH($B$35,'San Collection - Oversize'!$A$12:$A$33,0),MATCH(J3,'San Collection - Oversize'!$L$10:$AM$10,0))</f>
        <v/>
      </c>
      <c r="K35" s="145" t="str">
        <f>INDEX('San Collection - Oversize'!$L$12:$AM$33, MATCH($B$35,'San Collection - Oversize'!$A$12:$A$33,0),MATCH(K3,'San Collection - Oversize'!$L$10:$AM$10,0))</f>
        <v/>
      </c>
      <c r="L35" s="145">
        <f>INDEX('San Collection - Oversize'!$L$12:$AM$33, MATCH($B$35,'San Collection - Oversize'!$A$12:$A$33,0),MATCH(L3,'San Collection - Oversize'!$L$10:$AM$10,0))</f>
        <v>20363.16762608325</v>
      </c>
      <c r="M35" s="145">
        <f>INDEX('San Collection - Oversize'!$L$12:$AM$33, MATCH($B$35,'San Collection - Oversize'!$A$12:$A$33,0),MATCH(M3,'San Collection - Oversize'!$L$10:$AM$10,0))</f>
        <v>20872.246816735329</v>
      </c>
      <c r="N35" s="145" t="str">
        <f>INDEX('San Collection - Oversize'!$L$12:$AM$33, MATCH($B$35,'San Collection - Oversize'!$A$12:$A$33,0),MATCH(N3,'San Collection - Oversize'!$L$10:$AM$10,0))</f>
        <v/>
      </c>
      <c r="O35" s="145" t="str">
        <f>INDEX('San Collection - Oversize'!$L$12:$AM$33, MATCH($B$35,'San Collection - Oversize'!$A$12:$A$33,0),MATCH(O3,'San Collection - Oversize'!$L$10:$AM$10,0))</f>
        <v/>
      </c>
      <c r="P35" s="145" t="str">
        <f>INDEX('San Collection - Oversize'!$L$12:$AM$33, MATCH($B$35,'San Collection - Oversize'!$A$12:$A$33,0),MATCH(P3,'San Collection - Oversize'!$L$10:$AM$10,0))</f>
        <v/>
      </c>
      <c r="Q35" s="145" t="str">
        <f>INDEX('San Collection - Oversize'!$L$12:$AM$33, MATCH($B$35,'San Collection - Oversize'!$A$12:$A$33,0),MATCH(Q3,'San Collection - Oversize'!$L$10:$AM$10,0))</f>
        <v/>
      </c>
      <c r="R35" s="145" t="str">
        <f>INDEX('San Collection - Oversize'!$L$12:$AM$33, MATCH($B$35,'San Collection - Oversize'!$A$12:$A$33,0),MATCH(R3,'San Collection - Oversize'!$L$10:$AM$10,0))</f>
        <v/>
      </c>
      <c r="S35" s="145" t="str">
        <f>INDEX('San Collection - Oversize'!$L$12:$AM$33, MATCH($B$35,'San Collection - Oversize'!$A$12:$A$33,0),MATCH(S3,'San Collection - Oversize'!$L$10:$AM$10,0))</f>
        <v/>
      </c>
      <c r="T35" s="145" t="str">
        <f>INDEX('San Collection - Oversize'!$L$12:$AM$33, MATCH($B$35,'San Collection - Oversize'!$A$12:$A$33,0),MATCH(T3,'San Collection - Oversize'!$L$10:$AM$10,0))</f>
        <v/>
      </c>
      <c r="U35" s="145" t="str">
        <f>INDEX('San Collection - Oversize'!$L$12:$AM$33, MATCH($B$35,'San Collection - Oversize'!$A$12:$A$33,0),MATCH(U3,'San Collection - Oversize'!$L$10:$AM$10,0))</f>
        <v/>
      </c>
      <c r="V35" s="145" t="str">
        <f>INDEX('San Collection - Oversize'!$L$12:$AM$33, MATCH($B$35,'San Collection - Oversize'!$A$12:$A$33,0),MATCH(V3,'San Collection - Oversize'!$L$10:$AM$10,0))</f>
        <v/>
      </c>
      <c r="W35" s="145" t="str">
        <f>INDEX('San Collection - Oversize'!$L$12:$AM$33, MATCH($B$35,'San Collection - Oversize'!$A$12:$A$33,0),MATCH(W3,'San Collection - Oversize'!$L$10:$AM$10,0))</f>
        <v/>
      </c>
      <c r="X35" s="145" t="str">
        <f>INDEX('San Collection - Oversize'!$L$12:$AM$33, MATCH($B$35,'San Collection - Oversize'!$A$12:$A$33,0),MATCH(X3,'San Collection - Oversize'!$L$10:$AM$10,0))</f>
        <v/>
      </c>
      <c r="Y35" s="145" t="str">
        <f>INDEX('San Collection - Oversize'!$L$12:$AM$33, MATCH($B$35,'San Collection - Oversize'!$A$12:$A$33,0),MATCH(Y3,'San Collection - Oversize'!$L$10:$AM$10,0))</f>
        <v/>
      </c>
      <c r="Z35" s="145" t="str">
        <f>INDEX('San Collection - Oversize'!$L$12:$AM$33, MATCH($B$35,'San Collection - Oversize'!$A$12:$A$33,0),MATCH(Z3,'San Collection - Oversize'!$L$10:$AM$10,0))</f>
        <v/>
      </c>
      <c r="AA35" s="145" t="str">
        <f>INDEX('San Collection - Oversize'!$L$12:$AM$33, MATCH($B$35,'San Collection - Oversize'!$A$12:$A$33,0),MATCH(AA3,'San Collection - Oversize'!$L$10:$AM$10,0))</f>
        <v/>
      </c>
      <c r="AB35" s="145" t="str">
        <f>INDEX('San Collection - Oversize'!$L$12:$AM$33, MATCH($B$35,'San Collection - Oversize'!$A$12:$A$33,0),MATCH(AB3,'San Collection - Oversize'!$L$10:$AM$10,0))</f>
        <v/>
      </c>
      <c r="AC35" s="145" t="str">
        <f>INDEX('San Collection - Oversize'!$L$12:$AM$33, MATCH($B$35,'San Collection - Oversize'!$A$12:$A$33,0),MATCH(AC3,'San Collection - Oversize'!$L$10:$AM$10,0))</f>
        <v/>
      </c>
      <c r="AD35" s="145" t="str">
        <f>INDEX('San Collection - Oversize'!$L$12:$AM$33, MATCH($B$35,'San Collection - Oversize'!$A$12:$A$33,0),MATCH(AD3,'San Collection - Oversize'!$L$10:$AM$10,0))</f>
        <v/>
      </c>
      <c r="AE35" s="145" t="str">
        <f>INDEX('San Collection - Oversize'!$L$12:$AM$33, MATCH($B$35,'San Collection - Oversize'!$A$12:$A$33,0),MATCH(AE3,'San Collection - Oversize'!$L$10:$AM$10,0))</f>
        <v/>
      </c>
      <c r="AF35" s="690">
        <f>SUM(C35:AC35)</f>
        <v>41235.414442818583</v>
      </c>
    </row>
    <row r="36" spans="1:32">
      <c r="A36" s="631"/>
      <c r="B36" s="141"/>
      <c r="C36" s="125"/>
      <c r="D36" s="125"/>
      <c r="E36" s="125"/>
      <c r="F36" s="125"/>
      <c r="G36" s="125"/>
      <c r="H36" s="125"/>
      <c r="I36" s="125"/>
      <c r="J36" s="125"/>
      <c r="K36" s="125"/>
      <c r="L36" s="125" cm="1">
        <f t="array" ref="L36">_xlfn.LET(_xlpm.x, L5-SUM($D$7:L7)-SUM($D$9:L9)-SUM($D$11:L11)-SUM($D$13:L13)-SUM($D$15:L15)-SUM($D$17:L17)-SUM($D$19:L19)-SUM($D$21:L21)-SUM($D$23:L23)-SUM($D$25:L25)-SUM($D$27:L27)-SUM($D$29:L29)-SUM($D$31:L31)-SUM($D$33:L33)-SUM($D$35:L35),IF(OR(_xlpm.x&lt;0, INDEX(K:K,ROW()-1)&lt;0), _xlpm.x, 0))</f>
        <v>-4439617.6505970852</v>
      </c>
      <c r="M36" s="125" cm="1">
        <f t="array" ref="M36">_xlfn.LET(_xlpm.x, M5-SUM($D$7:M7)-SUM($D$9:M9)-SUM($D$11:M11)-SUM($D$13:M13)-SUM($D$15:M15)-SUM($D$17:M17)-SUM($D$19:M19)-SUM($D$21:M21)-SUM($D$23:M23)-SUM($D$25:M25)-SUM($D$27:M27)-SUM($D$29:M29)-SUM($D$31:M31)-SUM($D$33:M33)-SUM($D$35:M35),IF(OR(_xlpm.x&lt;0, INDEX(L:L,ROW()-1)&lt;0), _xlpm.x, 0))</f>
        <v>-7154647.9353630282</v>
      </c>
      <c r="N36" s="125" cm="1">
        <f t="array" ref="N36">_xlfn.LET(_xlpm.x, N5-SUM($D$7:N7)-SUM($D$9:N9)-SUM($D$11:N11)-SUM($D$13:N13)-SUM($D$15:N15)-SUM($D$17:N17)-SUM($D$19:N19)-SUM($D$21:N21)-SUM($D$23:N23)-SUM($D$25:N25)-SUM($D$27:N27)-SUM($D$29:N29)-SUM($D$31:N31)-SUM($D$33:N33)-SUM($D$35:N35),IF(OR(_xlpm.x&lt;0, INDEX(M:M,ROW()-1)&lt;0), _xlpm.x, 0))</f>
        <v>-6761904.4449984366</v>
      </c>
      <c r="O36" s="125" cm="1">
        <f t="array" ref="O36">_xlfn.LET(_xlpm.x, O5-SUM($D$7:O7)-SUM($D$9:O9)-SUM($D$11:O11)-SUM($D$13:O13)-SUM($D$15:O15)-SUM($D$17:O17)-SUM($D$19:O19)-SUM($D$21:O21)-SUM($D$23:O23)-SUM($D$25:O25)-SUM($D$27:O27)-SUM($D$29:O29)-SUM($D$31:O31)-SUM($D$33:O33)-SUM($D$35:O35),IF(OR(_xlpm.x&lt;0, INDEX(N:N,ROW()-1)&lt;0), _xlpm.x, 0))</f>
        <v>-6361306.0848265542</v>
      </c>
      <c r="P36" s="125" cm="1">
        <f t="array" ref="P36">_xlfn.LET(_xlpm.x, P5-SUM($D$7:P7)-SUM($D$9:P9)-SUM($D$11:P11)-SUM($D$13:P13)-SUM($D$15:P15)-SUM($D$17:P17)-SUM($D$19:P19)-SUM($D$21:P21)-SUM($D$23:P23)-SUM($D$25:P25)-SUM($D$27:P27)-SUM($D$29:P29)-SUM($D$31:P31)-SUM($D$33:P33)-SUM($D$35:P35),IF(OR(_xlpm.x&lt;0, INDEX(O:O,ROW()-1)&lt;0), _xlpm.x, 0))</f>
        <v>-5952695.7574512335</v>
      </c>
      <c r="Q36" s="125" cm="1">
        <f t="array" ref="Q36">_xlfn.LET(_xlpm.x, Q5-SUM($D$7:Q7)-SUM($D$9:Q9)-SUM($D$11:Q11)-SUM($D$13:Q13)-SUM($D$15:Q15)-SUM($D$17:Q17)-SUM($D$19:Q19)-SUM($D$21:Q21)-SUM($D$23:Q23)-SUM($D$25:Q25)-SUM($D$27:Q27)-SUM($D$29:Q29)-SUM($D$31:Q31)-SUM($D$33:Q33)-SUM($D$35:Q35),IF(OR(_xlpm.x&lt;0, INDEX(P:P,ROW()-1)&lt;0), _xlpm.x, 0))</f>
        <v>-5535913.2235284066</v>
      </c>
      <c r="R36" s="125" cm="1">
        <f t="array" ref="R36">_xlfn.LET(_xlpm.x, R5-SUM($D$7:R7)-SUM($D$9:R9)-SUM($D$11:R11)-SUM($D$13:R13)-SUM($D$15:R15)-SUM($D$17:R17)-SUM($D$19:R19)-SUM($D$21:R21)-SUM($D$23:R23)-SUM($D$25:R25)-SUM($D$27:R27)-SUM($D$29:R29)-SUM($D$31:R31)-SUM($D$33:R33)-SUM($D$35:R35),IF(OR(_xlpm.x&lt;0, INDEX(Q:Q,ROW()-1)&lt;0), _xlpm.x, 0))</f>
        <v>-5110795.038927123</v>
      </c>
      <c r="S36" s="125" cm="1">
        <f t="array" ref="S36">_xlfn.LET(_xlpm.x, S5-SUM($D$7:S7)-SUM($D$9:S9)-SUM($D$11:S11)-SUM($D$13:S13)-SUM($D$15:S15)-SUM($D$17:S17)-SUM($D$19:S19)-SUM($D$21:S21)-SUM($D$23:S23)-SUM($D$25:S25)-SUM($D$27:S27)-SUM($D$29:S29)-SUM($D$31:S31)-SUM($D$33:S33)-SUM($D$35:S35),IF(OR(_xlpm.x&lt;0, INDEX(R:R,ROW()-1)&lt;0), _xlpm.x, 0))</f>
        <v>-4677174.4906338127</v>
      </c>
      <c r="T36" s="125" cm="1">
        <f t="array" ref="T36">_xlfn.LET(_xlpm.x, T5-SUM($D$7:T7)-SUM($D$9:T9)-SUM($D$11:T11)-SUM($D$13:T13)-SUM($D$15:T15)-SUM($D$17:T17)-SUM($D$19:T19)-SUM($D$21:T21)-SUM($D$23:T23)-SUM($D$25:T25)-SUM($D$27:T27)-SUM($D$29:T29)-SUM($D$31:T31)-SUM($D$33:T33)-SUM($D$35:T35),IF(OR(_xlpm.x&lt;0, INDEX(S:S,ROW()-1)&lt;0), _xlpm.x, 0))</f>
        <v>-4234881.531374637</v>
      </c>
      <c r="U36" s="125" cm="1">
        <f t="array" ref="U36">_xlfn.LET(_xlpm.x, U5-SUM($D$7:U7)-SUM($D$9:U9)-SUM($D$11:U11)-SUM($D$13:U13)-SUM($D$15:U15)-SUM($D$17:U17)-SUM($D$19:U19)-SUM($D$21:U21)-SUM($D$23:U23)-SUM($D$25:U25)-SUM($D$27:U27)-SUM($D$29:U29)-SUM($D$31:U31)-SUM($D$33:U33)-SUM($D$35:U35),IF(OR(_xlpm.x&lt;0, INDEX(T:T,ROW()-1)&lt;0), _xlpm.x, 0))</f>
        <v>-3783742.7129302784</v>
      </c>
      <c r="V36" s="125" cm="1">
        <f t="array" ref="V36">_xlfn.LET(_xlpm.x, V5-SUM($D$7:V7)-SUM($D$9:V9)-SUM($D$11:V11)-SUM($D$13:V13)-SUM($D$15:V15)-SUM($D$17:V17)-SUM($D$19:V19)-SUM($D$21:V21)-SUM($D$23:V23)-SUM($D$25:V25)-SUM($D$27:V27)-SUM($D$29:V29)-SUM($D$31:V31)-SUM($D$33:V33)-SUM($D$35:V35),IF(OR(_xlpm.x&lt;0, INDEX(U:U,ROW()-1)&lt;0), _xlpm.x, 0))</f>
        <v>-3323581.1181170321</v>
      </c>
      <c r="W36" s="125" cm="1">
        <f t="array" ref="W36">_xlfn.LET(_xlpm.x, W5-SUM($D$7:W7)-SUM($D$9:W9)-SUM($D$11:W11)-SUM($D$13:W13)-SUM($D$15:W15)-SUM($D$17:W17)-SUM($D$19:W19)-SUM($D$21:W21)-SUM($D$23:W23)-SUM($D$25:W25)-SUM($D$27:W27)-SUM($D$29:W29)-SUM($D$31:W31)-SUM($D$33:W33)-SUM($D$35:W35),IF(OR(_xlpm.x&lt;0, INDEX(V:V,ROW()-1)&lt;0), _xlpm.x, 0))</f>
        <v>-2854216.2914075213</v>
      </c>
      <c r="X36" s="125" cm="1">
        <f t="array" ref="X36">_xlfn.LET(_xlpm.x, X5-SUM($D$7:X7)-SUM($D$9:X9)-SUM($D$11:X11)-SUM($D$13:X13)-SUM($D$15:X15)-SUM($D$17:X17)-SUM($D$19:X19)-SUM($D$21:X21)-SUM($D$23:X23)-SUM($D$25:X25)-SUM($D$27:X27)-SUM($D$29:X29)-SUM($D$31:X31)-SUM($D$33:X33)-SUM($D$35:X35),IF(OR(_xlpm.x&lt;0, INDEX(W:W,ROW()-1)&lt;0), _xlpm.x, 0))</f>
        <v>-2375464.1681638197</v>
      </c>
      <c r="Y36" s="125" cm="1">
        <f t="array" ref="Y36">_xlfn.LET(_xlpm.x, Y5-SUM($D$7:Y7)-SUM($D$9:Y9)-SUM($D$11:Y11)-SUM($D$13:Y13)-SUM($D$15:Y15)-SUM($D$17:Y17)-SUM($D$19:Y19)-SUM($D$21:Y21)-SUM($D$23:Y23)-SUM($D$25:Y25)-SUM($D$27:Y27)-SUM($D$29:Y29)-SUM($D$31:Y31)-SUM($D$33:Y33)-SUM($D$35:Y35),IF(OR(_xlpm.x&lt;0, INDEX(X:X,ROW()-1)&lt;0), _xlpm.x, 0))</f>
        <v>-1887137.0024552438</v>
      </c>
      <c r="Z36" s="125" cm="1">
        <f t="array" ref="Z36">_xlfn.LET(_xlpm.x, Z5-SUM($D$7:Z7)-SUM($D$9:Z9)-SUM($D$11:Z11)-SUM($D$13:Z13)-SUM($D$15:Z15)-SUM($D$17:Z17)-SUM($D$19:Z19)-SUM($D$21:Z21)-SUM($D$23:Z23)-SUM($D$25:Z25)-SUM($D$27:Z27)-SUM($D$29:Z29)-SUM($D$31:Z31)-SUM($D$33:Z33)-SUM($D$35:Z35),IF(OR(_xlpm.x&lt;0, INDEX(Y:Y,ROW()-1)&lt;0), _xlpm.x, 0))</f>
        <v>-1389043.2934324965</v>
      </c>
      <c r="AA36" s="125" cm="1">
        <f t="array" ref="AA36">_xlfn.LET(_xlpm.x, AA5-SUM($D$7:AA7)-SUM($D$9:AA9)-SUM($D$11:AA11)-SUM($D$13:AA13)-SUM($D$15:AA15)-SUM($D$17:AA17)-SUM($D$19:AA19)-SUM($D$21:AA21)-SUM($D$23:AA23)-SUM($D$25:AA25)-SUM($D$27:AA27)-SUM($D$29:AA29)-SUM($D$31:AA31)-SUM($D$33:AA33)-SUM($D$35:AA35),IF(OR(_xlpm.x&lt;0, INDEX(Z:Z,ROW()-1)&lt;0), _xlpm.x, 0))</f>
        <v>-880987.71022929437</v>
      </c>
      <c r="AB36" s="125" cm="1">
        <f t="array" ref="AB36">_xlfn.LET(_xlpm.x, AB5-SUM($D$7:AB7)-SUM($D$9:AB9)-SUM($D$11:AB11)-SUM($D$13:AB13)-SUM($D$15:AB15)-SUM($D$17:AB17)-SUM($D$19:AB19)-SUM($D$21:AB21)-SUM($D$23:AB23)-SUM($D$25:AB25)-SUM($D$27:AB27)-SUM($D$29:AB29)-SUM($D$31:AB31)-SUM($D$33:AB33)-SUM($D$35:AB35),IF(OR(_xlpm.x&lt;0, INDEX(AA:AA,ROW()-1)&lt;0), _xlpm.x, 0))</f>
        <v>-362771.01536202803</v>
      </c>
      <c r="AC36" s="345" cm="1">
        <f t="array" ref="AC36">_xlfn.LET(_xlpm.x, AC5-SUM($D$7:AC7)-SUM($D$9:AC9)-SUM($D$11:AC11)-SUM($D$13:AC13)-SUM($D$15:AC15)-SUM($D$17:AC17)-SUM($D$19:AC19)-SUM($D$21:AC21)-SUM($D$23:AC23)-SUM($D$25:AC25)-SUM($D$27:AC27)-SUM($D$29:AC29)-SUM($D$31:AC31)-SUM($D$33:AC33)-SUM($D$35:AC35),IF(OR(_xlpm.x&lt;0, INDEX(AB:AB,ROW()-1)&lt;0), _xlpm.x, 0))</f>
        <v>0</v>
      </c>
      <c r="AD36" s="125" cm="1">
        <f t="array" ref="AD36">_xlfn.LET(_xlpm.x, AD5-SUM($D$7:AC7)-SUM($D$9:AC9)-SUM($D$11:AC11)-SUM($D$13:AC13)-SUM($D$15:AC15)-SUM($D$17:AC17)-SUM($D$19:AC19)-SUM($D$21:AC21)-SUM($D$23:AC23)-SUM($D$25:AC25)-SUM($D$27:AC27)-SUM($D$29:AC29)-SUM($D$31:AC31)-SUM($D$33:AC33)-SUM($D$35:AC35),IF(OR(_xlpm.x&lt;0, INDEX(AB:AB,ROW()-1)&lt;0), _xlpm.x, 0))</f>
        <v>0</v>
      </c>
      <c r="AE36" s="125" cm="1">
        <f t="array" ref="AE36">_xlfn.LET(_xlpm.x, AE5-SUM($D$7:AD7)-SUM($D$9:AD9)-SUM($D$11:AD11)-SUM($D$13:AD13)-SUM($D$15:AD15)-SUM($D$17:AD17)-SUM($D$19:AD19)-SUM($D$21:AD21)-SUM($D$23:AD23)-SUM($D$25:AD25)-SUM($D$27:AD27)-SUM($D$29:AD29)-SUM($D$31:AD31)-SUM($D$33:AD33)-SUM($D$35:AD35),IF(OR(_xlpm.x&lt;0, INDEX(AC:AC,ROW()-1)&lt;0), _xlpm.x, 0))</f>
        <v>0</v>
      </c>
    </row>
    <row r="37" spans="1:32">
      <c r="A37" s="144" t="s">
        <v>279</v>
      </c>
      <c r="B37" s="144">
        <v>64</v>
      </c>
      <c r="C37" s="145" t="s">
        <v>118</v>
      </c>
      <c r="D37" s="145" t="str">
        <f>INDEX('San Collection - Oversize'!$L$12:$AM$33, MATCH($B$37,'San Collection - Oversize'!$A$12:$A$33,0),MATCH(D3,'San Collection - Oversize'!$L$10:$AM$10,0))</f>
        <v/>
      </c>
      <c r="E37" s="145" t="str">
        <f>INDEX('San Collection - Oversize'!$L$12:$AM$33, MATCH($B$37,'San Collection - Oversize'!$A$12:$A$33,0),MATCH(E3,'San Collection - Oversize'!$L$10:$AM$10,0))</f>
        <v/>
      </c>
      <c r="F37" s="145" t="str">
        <f>INDEX('San Collection - Oversize'!$L$12:$AM$33, MATCH($B$37,'San Collection - Oversize'!$A$12:$A$33,0),MATCH(F3,'San Collection - Oversize'!$L$10:$AM$10,0))</f>
        <v/>
      </c>
      <c r="G37" s="145" t="str">
        <f>INDEX('San Collection - Oversize'!$L$12:$AM$33, MATCH($B$37,'San Collection - Oversize'!$A$12:$A$33,0),MATCH(G3,'San Collection - Oversize'!$L$10:$AM$10,0))</f>
        <v/>
      </c>
      <c r="H37" s="145" t="str">
        <f>INDEX('San Collection - Oversize'!$L$12:$AM$33, MATCH($B$37,'San Collection - Oversize'!$A$12:$A$33,0),MATCH(H3,'San Collection - Oversize'!$L$10:$AM$10,0))</f>
        <v/>
      </c>
      <c r="I37" s="145" t="str">
        <f>INDEX('San Collection - Oversize'!$L$12:$AM$33, MATCH($B$37,'San Collection - Oversize'!$A$12:$A$33,0),MATCH(I3,'San Collection - Oversize'!$L$10:$AM$10,0))</f>
        <v/>
      </c>
      <c r="J37" s="145" t="str">
        <f>INDEX('San Collection - Oversize'!$L$12:$AM$33, MATCH($B$37,'San Collection - Oversize'!$A$12:$A$33,0),MATCH(J3,'San Collection - Oversize'!$L$10:$AM$10,0))</f>
        <v/>
      </c>
      <c r="K37" s="145" t="str">
        <f>INDEX('San Collection - Oversize'!$L$12:$AM$33, MATCH($B$37,'San Collection - Oversize'!$A$12:$A$33,0),MATCH(K3,'San Collection - Oversize'!$L$10:$AM$10,0))</f>
        <v/>
      </c>
      <c r="L37" s="145">
        <f>INDEX('San Collection - Oversize'!$L$12:$AM$33, MATCH($B$37,'San Collection - Oversize'!$A$12:$A$33,0),MATCH(L3,'San Collection - Oversize'!$L$10:$AM$10,0))</f>
        <v>29311.118505396083</v>
      </c>
      <c r="M37" s="145">
        <f>INDEX('San Collection - Oversize'!$L$12:$AM$33, MATCH($B$37,'San Collection - Oversize'!$A$12:$A$33,0),MATCH(M3,'San Collection - Oversize'!$L$10:$AM$10,0))</f>
        <v>30043.896468030984</v>
      </c>
      <c r="N37" s="145" t="str">
        <f>INDEX('San Collection - Oversize'!$L$12:$AM$33, MATCH($B$37,'San Collection - Oversize'!$A$12:$A$33,0),MATCH(N3,'San Collection - Oversize'!$L$10:$AM$10,0))</f>
        <v/>
      </c>
      <c r="O37" s="145" t="str">
        <f>INDEX('San Collection - Oversize'!$L$12:$AM$33, MATCH($B$37,'San Collection - Oversize'!$A$12:$A$33,0),MATCH(O3,'San Collection - Oversize'!$L$10:$AM$10,0))</f>
        <v/>
      </c>
      <c r="P37" s="145" t="str">
        <f>INDEX('San Collection - Oversize'!$L$12:$AM$33, MATCH($B$37,'San Collection - Oversize'!$A$12:$A$33,0),MATCH(P3,'San Collection - Oversize'!$L$10:$AM$10,0))</f>
        <v/>
      </c>
      <c r="Q37" s="145" t="str">
        <f>INDEX('San Collection - Oversize'!$L$12:$AM$33, MATCH($B$37,'San Collection - Oversize'!$A$12:$A$33,0),MATCH(Q3,'San Collection - Oversize'!$L$10:$AM$10,0))</f>
        <v/>
      </c>
      <c r="R37" s="145" t="str">
        <f>INDEX('San Collection - Oversize'!$L$12:$AM$33, MATCH($B$37,'San Collection - Oversize'!$A$12:$A$33,0),MATCH(R3,'San Collection - Oversize'!$L$10:$AM$10,0))</f>
        <v/>
      </c>
      <c r="S37" s="145" t="str">
        <f>INDEX('San Collection - Oversize'!$L$12:$AM$33, MATCH($B$37,'San Collection - Oversize'!$A$12:$A$33,0),MATCH(S3,'San Collection - Oversize'!$L$10:$AM$10,0))</f>
        <v/>
      </c>
      <c r="T37" s="145" t="str">
        <f>INDEX('San Collection - Oversize'!$L$12:$AM$33, MATCH($B$37,'San Collection - Oversize'!$A$12:$A$33,0),MATCH(T3,'San Collection - Oversize'!$L$10:$AM$10,0))</f>
        <v/>
      </c>
      <c r="U37" s="145" t="str">
        <f>INDEX('San Collection - Oversize'!$L$12:$AM$33, MATCH($B$37,'San Collection - Oversize'!$A$12:$A$33,0),MATCH(U3,'San Collection - Oversize'!$L$10:$AM$10,0))</f>
        <v/>
      </c>
      <c r="V37" s="145" t="str">
        <f>INDEX('San Collection - Oversize'!$L$12:$AM$33, MATCH($B$37,'San Collection - Oversize'!$A$12:$A$33,0),MATCH(V3,'San Collection - Oversize'!$L$10:$AM$10,0))</f>
        <v/>
      </c>
      <c r="W37" s="145" t="str">
        <f>INDEX('San Collection - Oversize'!$L$12:$AM$33, MATCH($B$37,'San Collection - Oversize'!$A$12:$A$33,0),MATCH(W3,'San Collection - Oversize'!$L$10:$AM$10,0))</f>
        <v/>
      </c>
      <c r="X37" s="145" t="str">
        <f>INDEX('San Collection - Oversize'!$L$12:$AM$33, MATCH($B$37,'San Collection - Oversize'!$A$12:$A$33,0),MATCH(X3,'San Collection - Oversize'!$L$10:$AM$10,0))</f>
        <v/>
      </c>
      <c r="Y37" s="145" t="str">
        <f>INDEX('San Collection - Oversize'!$L$12:$AM$33, MATCH($B$37,'San Collection - Oversize'!$A$12:$A$33,0),MATCH(Y3,'San Collection - Oversize'!$L$10:$AM$10,0))</f>
        <v/>
      </c>
      <c r="Z37" s="145" t="str">
        <f>INDEX('San Collection - Oversize'!$L$12:$AM$33, MATCH($B$37,'San Collection - Oversize'!$A$12:$A$33,0),MATCH(Z3,'San Collection - Oversize'!$L$10:$AM$10,0))</f>
        <v/>
      </c>
      <c r="AA37" s="145" t="str">
        <f>INDEX('San Collection - Oversize'!$L$12:$AM$33, MATCH($B$37,'San Collection - Oversize'!$A$12:$A$33,0),MATCH(AA3,'San Collection - Oversize'!$L$10:$AM$10,0))</f>
        <v/>
      </c>
      <c r="AB37" s="145" t="str">
        <f>INDEX('San Collection - Oversize'!$L$12:$AM$33, MATCH($B$37,'San Collection - Oversize'!$A$12:$A$33,0),MATCH(AB3,'San Collection - Oversize'!$L$10:$AM$10,0))</f>
        <v/>
      </c>
      <c r="AC37" s="145" t="str">
        <f>INDEX('San Collection - Oversize'!$L$12:$AM$33, MATCH($B$37,'San Collection - Oversize'!$A$12:$A$33,0),MATCH(AC3,'San Collection - Oversize'!$L$10:$AM$10,0))</f>
        <v/>
      </c>
      <c r="AD37" s="145" t="str">
        <f>INDEX('San Collection - Oversize'!$L$12:$AM$33, MATCH($B$37,'San Collection - Oversize'!$A$12:$A$33,0),MATCH(AD3,'San Collection - Oversize'!$L$10:$AM$10,0))</f>
        <v/>
      </c>
      <c r="AE37" s="145" t="str">
        <f>INDEX('San Collection - Oversize'!$L$12:$AM$33, MATCH($B$37,'San Collection - Oversize'!$A$12:$A$33,0),MATCH(AE3,'San Collection - Oversize'!$L$10:$AM$10,0))</f>
        <v/>
      </c>
      <c r="AF37" s="690">
        <f>SUM(C37:AC37)</f>
        <v>59355.014973427067</v>
      </c>
    </row>
    <row r="38" spans="1:32">
      <c r="A38" s="631"/>
      <c r="B38" s="141"/>
      <c r="C38" s="125"/>
      <c r="D38" s="125"/>
      <c r="E38" s="125"/>
      <c r="F38" s="125"/>
      <c r="G38" s="125"/>
      <c r="H38" s="125"/>
      <c r="I38" s="125"/>
      <c r="J38" s="125"/>
      <c r="K38" s="125"/>
      <c r="L38" s="125" cm="1">
        <f t="array" ref="L38">_xlfn.LET(_xlpm.x, L5-SUM($D$7:L7)-SUM($D$9:L9)-SUM($D$11:L11)-SUM($D$13:L13)-SUM($D$15:L15)-SUM($D$17:L17)-SUM($D$19:L19)-SUM($D$21:L21)-SUM($D$23:L23)-SUM($D$25:L25)-SUM($D$27:L27)-SUM($D$29:L29)-SUM($D$31:L31)-SUM($D$33:L33)-SUM($D$35:L35)-SUM($D$37:L37),IF(OR(_xlpm.x&lt;0, INDEX(K:K,ROW()-1)&lt;0), _xlpm.x, 0))</f>
        <v>-4468928.7691024812</v>
      </c>
      <c r="M38" s="125" cm="1">
        <f t="array" ref="M38">_xlfn.LET(_xlpm.x, M5-SUM($D$7:M7)-SUM($D$9:M9)-SUM($D$11:M11)-SUM($D$13:M13)-SUM($D$15:M15)-SUM($D$17:M17)-SUM($D$19:M19)-SUM($D$21:M21)-SUM($D$23:M23)-SUM($D$25:M25)-SUM($D$27:M27)-SUM($D$29:M29)-SUM($D$31:M31)-SUM($D$33:M33)-SUM($D$35:M35)-SUM($D$37:M37),IF(OR(_xlpm.x&lt;0, INDEX(L:L,ROW()-1)&lt;0), _xlpm.x, 0))</f>
        <v>-7214002.9503364554</v>
      </c>
      <c r="N38" s="125" cm="1">
        <f t="array" ref="N38">_xlfn.LET(_xlpm.x, N5-SUM($D$7:N7)-SUM($D$9:N9)-SUM($D$11:N11)-SUM($D$13:N13)-SUM($D$15:N15)-SUM($D$17:N17)-SUM($D$19:N19)-SUM($D$21:N21)-SUM($D$23:N23)-SUM($D$25:N25)-SUM($D$27:N27)-SUM($D$29:N29)-SUM($D$31:N31)-SUM($D$33:N33)-SUM($D$35:N35)-SUM($D$37:N37),IF(OR(_xlpm.x&lt;0, INDEX(M:M,ROW()-1)&lt;0), _xlpm.x, 0))</f>
        <v>-6821259.4599718638</v>
      </c>
      <c r="O38" s="125" cm="1">
        <f t="array" ref="O38">_xlfn.LET(_xlpm.x, O5-SUM($D$7:O7)-SUM($D$9:O9)-SUM($D$11:O11)-SUM($D$13:O13)-SUM($D$15:O15)-SUM($D$17:O17)-SUM($D$19:O19)-SUM($D$21:O21)-SUM($D$23:O23)-SUM($D$25:O25)-SUM($D$27:O27)-SUM($D$29:O29)-SUM($D$31:O31)-SUM($D$33:O33)-SUM($D$35:O35)-SUM($D$37:O37),IF(OR(_xlpm.x&lt;0, INDEX(N:N,ROW()-1)&lt;0), _xlpm.x, 0))</f>
        <v>-6420661.0997999813</v>
      </c>
      <c r="P38" s="125" cm="1">
        <f t="array" ref="P38">_xlfn.LET(_xlpm.x, P5-SUM($D$7:P7)-SUM($D$9:P9)-SUM($D$11:P11)-SUM($D$13:P13)-SUM($D$15:P15)-SUM($D$17:P17)-SUM($D$19:P19)-SUM($D$21:P21)-SUM($D$23:P23)-SUM($D$25:P25)-SUM($D$27:P27)-SUM($D$29:P29)-SUM($D$31:P31)-SUM($D$33:P33)-SUM($D$35:P35)-SUM($D$37:P37),IF(OR(_xlpm.x&lt;0, INDEX(O:O,ROW()-1)&lt;0), _xlpm.x, 0))</f>
        <v>-6012050.7724246606</v>
      </c>
      <c r="Q38" s="125" cm="1">
        <f t="array" ref="Q38">_xlfn.LET(_xlpm.x, Q5-SUM($D$7:Q7)-SUM($D$9:Q9)-SUM($D$11:Q11)-SUM($D$13:Q13)-SUM($D$15:Q15)-SUM($D$17:Q17)-SUM($D$19:Q19)-SUM($D$21:Q21)-SUM($D$23:Q23)-SUM($D$25:Q25)-SUM($D$27:Q27)-SUM($D$29:Q29)-SUM($D$31:Q31)-SUM($D$33:Q33)-SUM($D$35:Q35)-SUM($D$37:Q37),IF(OR(_xlpm.x&lt;0, INDEX(P:P,ROW()-1)&lt;0), _xlpm.x, 0))</f>
        <v>-5595268.2385018338</v>
      </c>
      <c r="R38" s="125" cm="1">
        <f t="array" ref="R38">_xlfn.LET(_xlpm.x, R5-SUM($D$7:R7)-SUM($D$9:R9)-SUM($D$11:R11)-SUM($D$13:R13)-SUM($D$15:R15)-SUM($D$17:R17)-SUM($D$19:R19)-SUM($D$21:R21)-SUM($D$23:R23)-SUM($D$25:R25)-SUM($D$27:R27)-SUM($D$29:R29)-SUM($D$31:R31)-SUM($D$33:R33)-SUM($D$35:R35)-SUM($D$37:R37),IF(OR(_xlpm.x&lt;0, INDEX(Q:Q,ROW()-1)&lt;0), _xlpm.x, 0))</f>
        <v>-5170150.0539005501</v>
      </c>
      <c r="S38" s="125" cm="1">
        <f t="array" ref="S38">_xlfn.LET(_xlpm.x, S5-SUM($D$7:S7)-SUM($D$9:S9)-SUM($D$11:S11)-SUM($D$13:S13)-SUM($D$15:S15)-SUM($D$17:S17)-SUM($D$19:S19)-SUM($D$21:S21)-SUM($D$23:S23)-SUM($D$25:S25)-SUM($D$27:S27)-SUM($D$29:S29)-SUM($D$31:S31)-SUM($D$33:S33)-SUM($D$35:S35)-SUM($D$37:S37),IF(OR(_xlpm.x&lt;0, INDEX(R:R,ROW()-1)&lt;0), _xlpm.x, 0))</f>
        <v>-4736529.5056072399</v>
      </c>
      <c r="T38" s="125" cm="1">
        <f t="array" ref="T38">_xlfn.LET(_xlpm.x, T5-SUM($D$7:T7)-SUM($D$9:T9)-SUM($D$11:T11)-SUM($D$13:T13)-SUM($D$15:T15)-SUM($D$17:T17)-SUM($D$19:T19)-SUM($D$21:T21)-SUM($D$23:T23)-SUM($D$25:T25)-SUM($D$27:T27)-SUM($D$29:T29)-SUM($D$31:T31)-SUM($D$33:T33)-SUM($D$35:T35)-SUM($D$37:T37),IF(OR(_xlpm.x&lt;0, INDEX(S:S,ROW()-1)&lt;0), _xlpm.x, 0))</f>
        <v>-4294236.5463480642</v>
      </c>
      <c r="U38" s="125" cm="1">
        <f t="array" ref="U38">_xlfn.LET(_xlpm.x, U5-SUM($D$7:U7)-SUM($D$9:U9)-SUM($D$11:U11)-SUM($D$13:U13)-SUM($D$15:U15)-SUM($D$17:U17)-SUM($D$19:U19)-SUM($D$21:U21)-SUM($D$23:U23)-SUM($D$25:U25)-SUM($D$27:U27)-SUM($D$29:U29)-SUM($D$31:U31)-SUM($D$33:U33)-SUM($D$35:U35)-SUM($D$37:U37),IF(OR(_xlpm.x&lt;0, INDEX(T:T,ROW()-1)&lt;0), _xlpm.x, 0))</f>
        <v>-3843097.7279037056</v>
      </c>
      <c r="V38" s="125" cm="1">
        <f t="array" ref="V38">_xlfn.LET(_xlpm.x, V5-SUM($D$7:V7)-SUM($D$9:V9)-SUM($D$11:V11)-SUM($D$13:V13)-SUM($D$15:V15)-SUM($D$17:V17)-SUM($D$19:V19)-SUM($D$21:V21)-SUM($D$23:V23)-SUM($D$25:V25)-SUM($D$27:V27)-SUM($D$29:V29)-SUM($D$31:V31)-SUM($D$33:V33)-SUM($D$35:V35)-SUM($D$37:V37),IF(OR(_xlpm.x&lt;0, INDEX(U:U,ROW()-1)&lt;0), _xlpm.x, 0))</f>
        <v>-3382936.1330904593</v>
      </c>
      <c r="W38" s="125" cm="1">
        <f t="array" ref="W38">_xlfn.LET(_xlpm.x, W5-SUM($D$7:W7)-SUM($D$9:W9)-SUM($D$11:W11)-SUM($D$13:W13)-SUM($D$15:W15)-SUM($D$17:W17)-SUM($D$19:W19)-SUM($D$21:W21)-SUM($D$23:W23)-SUM($D$25:W25)-SUM($D$27:W27)-SUM($D$29:W29)-SUM($D$31:W31)-SUM($D$33:W33)-SUM($D$35:W35)-SUM($D$37:W37),IF(OR(_xlpm.x&lt;0, INDEX(V:V,ROW()-1)&lt;0), _xlpm.x, 0))</f>
        <v>-2913571.3063809485</v>
      </c>
      <c r="X38" s="125" cm="1">
        <f t="array" ref="X38">_xlfn.LET(_xlpm.x, X5-SUM($D$7:X7)-SUM($D$9:X9)-SUM($D$11:X11)-SUM($D$13:X13)-SUM($D$15:X15)-SUM($D$17:X17)-SUM($D$19:X19)-SUM($D$21:X21)-SUM($D$23:X23)-SUM($D$25:X25)-SUM($D$27:X27)-SUM($D$29:X29)-SUM($D$31:X31)-SUM($D$33:X33)-SUM($D$35:X35)-SUM($D$37:X37),IF(OR(_xlpm.x&lt;0, INDEX(W:W,ROW()-1)&lt;0), _xlpm.x, 0))</f>
        <v>-2434819.1831372469</v>
      </c>
      <c r="Y38" s="125" cm="1">
        <f t="array" ref="Y38">_xlfn.LET(_xlpm.x, Y5-SUM($D$7:Y7)-SUM($D$9:Y9)-SUM($D$11:Y11)-SUM($D$13:Y13)-SUM($D$15:Y15)-SUM($D$17:Y17)-SUM($D$19:Y19)-SUM($D$21:Y21)-SUM($D$23:Y23)-SUM($D$25:Y25)-SUM($D$27:Y27)-SUM($D$29:Y29)-SUM($D$31:Y31)-SUM($D$33:Y33)-SUM($D$35:Y35)-SUM($D$37:Y37),IF(OR(_xlpm.x&lt;0, INDEX(X:X,ROW()-1)&lt;0), _xlpm.x, 0))</f>
        <v>-1946492.017428671</v>
      </c>
      <c r="Z38" s="125" cm="1">
        <f t="array" ref="Z38">_xlfn.LET(_xlpm.x, Z5-SUM($D$7:Z7)-SUM($D$9:Z9)-SUM($D$11:Z11)-SUM($D$13:Z13)-SUM($D$15:Z15)-SUM($D$17:Z17)-SUM($D$19:Z19)-SUM($D$21:Z21)-SUM($D$23:Z23)-SUM($D$25:Z25)-SUM($D$27:Z27)-SUM($D$29:Z29)-SUM($D$31:Z31)-SUM($D$33:Z33)-SUM($D$35:Z35)-SUM($D$37:Z37),IF(OR(_xlpm.x&lt;0, INDEX(Y:Y,ROW()-1)&lt;0), _xlpm.x, 0))</f>
        <v>-1448398.3084059237</v>
      </c>
      <c r="AA38" s="125" cm="1">
        <f t="array" ref="AA38">_xlfn.LET(_xlpm.x, AA5-SUM($D$7:AA7)-SUM($D$9:AA9)-SUM($D$11:AA11)-SUM($D$13:AA13)-SUM($D$15:AA15)-SUM($D$17:AA17)-SUM($D$19:AA19)-SUM($D$21:AA21)-SUM($D$23:AA23)-SUM($D$25:AA25)-SUM($D$27:AA27)-SUM($D$29:AA29)-SUM($D$31:AA31)-SUM($D$33:AA33)-SUM($D$35:AA35)-SUM($D$37:AA37),IF(OR(_xlpm.x&lt;0, INDEX(Z:Z,ROW()-1)&lt;0), _xlpm.x, 0))</f>
        <v>-940342.72520272143</v>
      </c>
      <c r="AB38" s="125" cm="1">
        <f t="array" ref="AB38">_xlfn.LET(_xlpm.x, AB5-SUM($D$7:AB7)-SUM($D$9:AB9)-SUM($D$11:AB11)-SUM($D$13:AB13)-SUM($D$15:AB15)-SUM($D$17:AB17)-SUM($D$19:AB19)-SUM($D$21:AB21)-SUM($D$23:AB23)-SUM($D$25:AB25)-SUM($D$27:AB27)-SUM($D$29:AB29)-SUM($D$31:AB31)-SUM($D$33:AB33)-SUM($D$35:AB35)-SUM($D$37:AB37),IF(OR(_xlpm.x&lt;0, INDEX(AA:AA,ROW()-1)&lt;0), _xlpm.x, 0))</f>
        <v>-422126.03033545509</v>
      </c>
      <c r="AC38" s="345" cm="1">
        <f t="array" ref="AC38">_xlfn.LET(_xlpm.x, AC5-SUM($D$7:AC7)-SUM($D$9:AC9)-SUM($D$11:AC11)-SUM($D$13:AC13)-SUM($D$15:AC15)-SUM($D$17:AC17)-SUM($D$19:AC19)-SUM($D$21:AC21)-SUM($D$23:AC23)-SUM($D$25:AC25)-SUM($D$27:AC27)-SUM($D$29:AC29)-SUM($D$31:AC31)-SUM($D$33:AC33)-SUM($D$35:AC35)-SUM($D$37:AC37),IF(OR(_xlpm.x&lt;0, INDEX(AB:AB,ROW()-1)&lt;0), _xlpm.x, 0))</f>
        <v>0</v>
      </c>
      <c r="AD38" s="125" cm="1">
        <f t="array" ref="AD38">_xlfn.LET(_xlpm.x, AD5-SUM($D$7:AD7)-SUM($D$9:AD9)-SUM($D$11:AD11)-SUM($D$13:AD13)-SUM($D$15:AD15)-SUM($D$17:AD17)-SUM($D$19:AD19)-SUM($D$21:AD21)-SUM($D$23:AD23)-SUM($D$25:AD25)-SUM($D$27:AD27)-SUM($D$29:AD29)-SUM($D$31:AD31)-SUM($D$33:AD33)-SUM($D$35:AD35)-SUM($D$37:AD37),IF(OR(_xlpm.x&lt;0, INDEX(AC:AC,ROW()-1)&lt;0), _xlpm.x, 0))</f>
        <v>0</v>
      </c>
      <c r="AE38" s="125" cm="1">
        <f t="array" ref="AE38">_xlfn.LET(_xlpm.x, AE5-SUM($D$7:AE7)-SUM($D$9:AE9)-SUM($D$11:AE11)-SUM($D$13:AE13)-SUM($D$15:AE15)-SUM($D$17:AE17)-SUM($D$19:AE19)-SUM($D$21:AE21)-SUM($D$23:AE23)-SUM($D$25:AE25)-SUM($D$27:AE27)-SUM($D$29:AE29)-SUM($D$31:AE31)-SUM($D$33:AE33)-SUM($D$35:AE35)-SUM($D$37:AE37),IF(OR(_xlpm.x&lt;0, INDEX(AD:AD,ROW()-1)&lt;0), _xlpm.x, 0))</f>
        <v>0</v>
      </c>
    </row>
    <row r="39" spans="1:32">
      <c r="A39" s="144" t="s">
        <v>279</v>
      </c>
      <c r="B39" s="144">
        <v>51</v>
      </c>
      <c r="C39" s="145" t="s">
        <v>118</v>
      </c>
      <c r="D39" s="145" t="str">
        <f>INDEX('San Collection - Oversize'!$L$12:$AM$33, MATCH($B$39,'San Collection - Oversize'!$A$12:$A$33,0),MATCH(D3,'San Collection - Oversize'!$L$10:$AM$10,0))</f>
        <v/>
      </c>
      <c r="E39" s="145" t="str">
        <f>INDEX('San Collection - Oversize'!$L$12:$AM$33, MATCH($B$39,'San Collection - Oversize'!$A$12:$A$33,0),MATCH(E3,'San Collection - Oversize'!$L$10:$AM$10,0))</f>
        <v/>
      </c>
      <c r="F39" s="145" t="str">
        <f>INDEX('San Collection - Oversize'!$L$12:$AM$33, MATCH($B$39,'San Collection - Oversize'!$A$12:$A$33,0),MATCH(F3,'San Collection - Oversize'!$L$10:$AM$10,0))</f>
        <v/>
      </c>
      <c r="G39" s="145" t="str">
        <f>INDEX('San Collection - Oversize'!$L$12:$AM$33, MATCH($B$39,'San Collection - Oversize'!$A$12:$A$33,0),MATCH(G3,'San Collection - Oversize'!$L$10:$AM$10,0))</f>
        <v/>
      </c>
      <c r="H39" s="145" t="str">
        <f>INDEX('San Collection - Oversize'!$L$12:$AM$33, MATCH($B$39,'San Collection - Oversize'!$A$12:$A$33,0),MATCH(H3,'San Collection - Oversize'!$L$10:$AM$10,0))</f>
        <v/>
      </c>
      <c r="I39" s="145" t="str">
        <f>INDEX('San Collection - Oversize'!$L$12:$AM$33, MATCH($B$39,'San Collection - Oversize'!$A$12:$A$33,0),MATCH(I3,'San Collection - Oversize'!$L$10:$AM$10,0))</f>
        <v/>
      </c>
      <c r="J39" s="145" t="str">
        <f>INDEX('San Collection - Oversize'!$L$12:$AM$33, MATCH($B$39,'San Collection - Oversize'!$A$12:$A$33,0),MATCH(J3,'San Collection - Oversize'!$L$10:$AM$10,0))</f>
        <v/>
      </c>
      <c r="K39" s="145" t="str">
        <f>INDEX('San Collection - Oversize'!$L$12:$AM$33, MATCH($B$39,'San Collection - Oversize'!$A$12:$A$33,0),MATCH(K3,'San Collection - Oversize'!$L$10:$AM$10,0))</f>
        <v/>
      </c>
      <c r="L39" s="145" t="str">
        <f>INDEX('San Collection - Oversize'!$L$12:$AM$33, MATCH($B$39,'San Collection - Oversize'!$A$12:$A$33,0),MATCH(L3,'San Collection - Oversize'!$L$10:$AM$10,0))</f>
        <v/>
      </c>
      <c r="M39" s="145" t="str">
        <f>INDEX('San Collection - Oversize'!$L$12:$AM$33, MATCH($B$39,'San Collection - Oversize'!$A$12:$A$33,0),MATCH(M3,'San Collection - Oversize'!$L$10:$AM$10,0))</f>
        <v/>
      </c>
      <c r="N39" s="145" t="str">
        <f>INDEX('San Collection - Oversize'!$L$12:$AM$33, MATCH($B$39,'San Collection - Oversize'!$A$12:$A$33,0),MATCH(N3,'San Collection - Oversize'!$L$10:$AM$10,0))</f>
        <v/>
      </c>
      <c r="O39" s="145" t="str">
        <f>INDEX('San Collection - Oversize'!$L$12:$AM$33, MATCH($B$39,'San Collection - Oversize'!$A$12:$A$33,0),MATCH(O3,'San Collection - Oversize'!$L$10:$AM$10,0))</f>
        <v/>
      </c>
      <c r="P39" s="145" t="str">
        <f>INDEX('San Collection - Oversize'!$L$12:$AM$33, MATCH($B$39,'San Collection - Oversize'!$A$12:$A$33,0),MATCH(P3,'San Collection - Oversize'!$L$10:$AM$10,0))</f>
        <v/>
      </c>
      <c r="Q39" s="145" t="str">
        <f>INDEX('San Collection - Oversize'!$L$12:$AM$33, MATCH($B$39,'San Collection - Oversize'!$A$12:$A$33,0),MATCH(Q3,'San Collection - Oversize'!$L$10:$AM$10,0))</f>
        <v/>
      </c>
      <c r="R39" s="145">
        <f>INDEX('San Collection - Oversize'!$L$12:$AM$33, MATCH($B$39,'San Collection - Oversize'!$A$12:$A$33,0),MATCH(R3,'San Collection - Oversize'!$L$10:$AM$10,0))</f>
        <v>24331.409197168246</v>
      </c>
      <c r="S39" s="145">
        <f>INDEX('San Collection - Oversize'!$L$12:$AM$33, MATCH($B$39,'San Collection - Oversize'!$A$12:$A$33,0),MATCH(S3,'San Collection - Oversize'!$L$10:$AM$10,0))</f>
        <v>24939.694427097449</v>
      </c>
      <c r="T39" s="145" t="str">
        <f>INDEX('San Collection - Oversize'!$L$12:$AM$33, MATCH($B$39,'San Collection - Oversize'!$A$12:$A$33,0),MATCH(T3,'San Collection - Oversize'!$L$10:$AM$10,0))</f>
        <v/>
      </c>
      <c r="U39" s="145" t="str">
        <f>INDEX('San Collection - Oversize'!$L$12:$AM$33, MATCH($B$39,'San Collection - Oversize'!$A$12:$A$33,0),MATCH(U3,'San Collection - Oversize'!$L$10:$AM$10,0))</f>
        <v/>
      </c>
      <c r="V39" s="145" t="str">
        <f>INDEX('San Collection - Oversize'!$L$12:$AM$33, MATCH($B$39,'San Collection - Oversize'!$A$12:$A$33,0),MATCH(V3,'San Collection - Oversize'!$L$10:$AM$10,0))</f>
        <v/>
      </c>
      <c r="W39" s="145" t="str">
        <f>INDEX('San Collection - Oversize'!$L$12:$AM$33, MATCH($B$39,'San Collection - Oversize'!$A$12:$A$33,0),MATCH(W3,'San Collection - Oversize'!$L$10:$AM$10,0))</f>
        <v/>
      </c>
      <c r="X39" s="145" t="str">
        <f>INDEX('San Collection - Oversize'!$L$12:$AM$33, MATCH($B$39,'San Collection - Oversize'!$A$12:$A$33,0),MATCH(X3,'San Collection - Oversize'!$L$10:$AM$10,0))</f>
        <v/>
      </c>
      <c r="Y39" s="145" t="str">
        <f>INDEX('San Collection - Oversize'!$L$12:$AM$33, MATCH($B$39,'San Collection - Oversize'!$A$12:$A$33,0),MATCH(Y3,'San Collection - Oversize'!$L$10:$AM$10,0))</f>
        <v/>
      </c>
      <c r="Z39" s="145" t="str">
        <f>INDEX('San Collection - Oversize'!$L$12:$AM$33, MATCH($B$39,'San Collection - Oversize'!$A$12:$A$33,0),MATCH(Z3,'San Collection - Oversize'!$L$10:$AM$10,0))</f>
        <v/>
      </c>
      <c r="AA39" s="145" t="str">
        <f>INDEX('San Collection - Oversize'!$L$12:$AM$33, MATCH($B$39,'San Collection - Oversize'!$A$12:$A$33,0),MATCH(AA3,'San Collection - Oversize'!$L$10:$AM$10,0))</f>
        <v/>
      </c>
      <c r="AB39" s="145" t="str">
        <f>INDEX('San Collection - Oversize'!$L$12:$AM$33, MATCH($B$39,'San Collection - Oversize'!$A$12:$A$33,0),MATCH(AB3,'San Collection - Oversize'!$L$10:$AM$10,0))</f>
        <v/>
      </c>
      <c r="AC39" s="145" t="str">
        <f>INDEX('San Collection - Oversize'!$L$12:$AM$33, MATCH($B$39,'San Collection - Oversize'!$A$12:$A$33,0),MATCH(AC3,'San Collection - Oversize'!$L$10:$AM$10,0))</f>
        <v/>
      </c>
      <c r="AD39" s="145" t="str">
        <f>INDEX('San Collection - Oversize'!$L$12:$AM$33, MATCH($B$39,'San Collection - Oversize'!$A$12:$A$33,0),MATCH(AD3,'San Collection - Oversize'!$L$10:$AM$10,0))</f>
        <v/>
      </c>
      <c r="AE39" s="145" t="str">
        <f>INDEX('San Collection - Oversize'!$L$12:$AM$33, MATCH($B$39,'San Collection - Oversize'!$A$12:$A$33,0),MATCH(AE3,'San Collection - Oversize'!$L$10:$AM$10,0))</f>
        <v/>
      </c>
      <c r="AF39" s="690">
        <f>SUM(C39:AC39)</f>
        <v>49271.103624265699</v>
      </c>
    </row>
    <row r="40" spans="1:32">
      <c r="A40" s="631"/>
      <c r="B40" s="141"/>
      <c r="C40" s="125"/>
      <c r="D40" s="125"/>
      <c r="E40" s="125"/>
      <c r="F40" s="125"/>
      <c r="G40" s="125"/>
      <c r="H40" s="125"/>
      <c r="I40" s="125"/>
      <c r="J40" s="125"/>
      <c r="K40" s="125"/>
      <c r="L40" s="125"/>
      <c r="M40" s="125"/>
      <c r="N40" s="125"/>
      <c r="O40" s="125"/>
      <c r="P40" s="125"/>
      <c r="Q40" s="125"/>
      <c r="R40" s="125" cm="1">
        <f t="array" ref="R40">_xlfn.LET(_xlpm.x, R5-SUM($D$7:R7)-SUM($D$9:R9)-SUM($D$11:R11)-SUM($D$13:R13)-SUM($D$15:R15)-SUM($D$17:R17)-SUM($D$19:R19)-SUM($D$21:R21)-SUM($D$23:R23)-SUM($D$25:R25)-SUM($D$27:R27)-SUM($D$29:R29)-SUM($D$31:R31)-SUM($D$33:R33)-SUM($D$35:R35)-SUM($D$37:R37)-SUM($D$39:R39),IF(OR(_xlpm.x&lt;0, INDEX(Q:Q,ROW()-1)&lt;0), _xlpm.x, 0))</f>
        <v>-5194481.4630977185</v>
      </c>
      <c r="S40" s="125" cm="1">
        <f t="array" ref="S40">_xlfn.LET(_xlpm.x, S5-SUM($D$7:S7)-SUM($D$9:S9)-SUM($D$11:S11)-SUM($D$13:S13)-SUM($D$15:S15)-SUM($D$17:S17)-SUM($D$19:S19)-SUM($D$21:S21)-SUM($D$23:S23)-SUM($D$25:S25)-SUM($D$27:S27)-SUM($D$29:S29)-SUM($D$31:S31)-SUM($D$33:S33)-SUM($D$35:S35)-SUM($D$37:S37)-SUM($D$39:S39),IF(OR(_xlpm.x&lt;0, INDEX(R:R,ROW()-1)&lt;0), _xlpm.x, 0))</f>
        <v>-4785800.6092315055</v>
      </c>
      <c r="T40" s="125" cm="1">
        <f t="array" ref="T40">_xlfn.LET(_xlpm.x, T5-SUM($D$7:T7)-SUM($D$9:T9)-SUM($D$11:T11)-SUM($D$13:T13)-SUM($D$15:T15)-SUM($D$17:T17)-SUM($D$19:T19)-SUM($D$21:T21)-SUM($D$23:T23)-SUM($D$25:T25)-SUM($D$27:T27)-SUM($D$29:T29)-SUM($D$31:T31)-SUM($D$33:T33)-SUM($D$35:T35)-SUM($D$37:T37)-SUM($D$39:T39),IF(OR(_xlpm.x&lt;0, INDEX(S:S,ROW()-1)&lt;0), _xlpm.x, 0))</f>
        <v>-4343507.6499723298</v>
      </c>
      <c r="U40" s="125" cm="1">
        <f t="array" ref="U40">_xlfn.LET(_xlpm.x, U5-SUM($D$7:U7)-SUM($D$9:U9)-SUM($D$11:U11)-SUM($D$13:U13)-SUM($D$15:U15)-SUM($D$17:U17)-SUM($D$19:U19)-SUM($D$21:U21)-SUM($D$23:U23)-SUM($D$25:U25)-SUM($D$27:U27)-SUM($D$29:U29)-SUM($D$31:U31)-SUM($D$33:U33)-SUM($D$35:U35)-SUM($D$37:U37)-SUM($D$39:U39),IF(OR(_xlpm.x&lt;0, INDEX(T:T,ROW()-1)&lt;0), _xlpm.x, 0))</f>
        <v>-3892368.8315279712</v>
      </c>
      <c r="V40" s="125" cm="1">
        <f t="array" ref="V40">_xlfn.LET(_xlpm.x, V5-SUM($D$7:V7)-SUM($D$9:V9)-SUM($D$11:V11)-SUM($D$13:V13)-SUM($D$15:V15)-SUM($D$17:V17)-SUM($D$19:V19)-SUM($D$21:V21)-SUM($D$23:V23)-SUM($D$25:V25)-SUM($D$27:V27)-SUM($D$29:V29)-SUM($D$31:V31)-SUM($D$33:V33)-SUM($D$35:V35)-SUM($D$37:V37)-SUM($D$39:V39),IF(OR(_xlpm.x&lt;0, INDEX(U:U,ROW()-1)&lt;0), _xlpm.x, 0))</f>
        <v>-3432207.2367147249</v>
      </c>
      <c r="W40" s="125" cm="1">
        <f t="array" ref="W40">_xlfn.LET(_xlpm.x, W5-SUM($D$7:W7)-SUM($D$9:W9)-SUM($D$11:W11)-SUM($D$13:W13)-SUM($D$15:W15)-SUM($D$17:W17)-SUM($D$19:W19)-SUM($D$21:W21)-SUM($D$23:W23)-SUM($D$25:W25)-SUM($D$27:W27)-SUM($D$29:W29)-SUM($D$31:W31)-SUM($D$33:W33)-SUM($D$35:W35)-SUM($D$37:W37)-SUM($D$39:W39),IF(OR(_xlpm.x&lt;0, INDEX(V:V,ROW()-1)&lt;0), _xlpm.x, 0))</f>
        <v>-2962842.4100052142</v>
      </c>
      <c r="X40" s="125" cm="1">
        <f t="array" ref="X40">_xlfn.LET(_xlpm.x, X5-SUM($D$7:X7)-SUM($D$9:X9)-SUM($D$11:X11)-SUM($D$13:X13)-SUM($D$15:X15)-SUM($D$17:X17)-SUM($D$19:X19)-SUM($D$21:X21)-SUM($D$23:X23)-SUM($D$25:X25)-SUM($D$27:X27)-SUM($D$29:X29)-SUM($D$31:X31)-SUM($D$33:X33)-SUM($D$35:X35)-SUM($D$37:X37)-SUM($D$39:X39),IF(OR(_xlpm.x&lt;0, INDEX(W:W,ROW()-1)&lt;0), _xlpm.x, 0))</f>
        <v>-2484090.2867615125</v>
      </c>
      <c r="Y40" s="125" cm="1">
        <f t="array" ref="Y40">_xlfn.LET(_xlpm.x, Y5-SUM($D$7:Y7)-SUM($D$9:Y9)-SUM($D$11:Y11)-SUM($D$13:Y13)-SUM($D$15:Y15)-SUM($D$17:Y17)-SUM($D$19:Y19)-SUM($D$21:Y21)-SUM($D$23:Y23)-SUM($D$25:Y25)-SUM($D$27:Y27)-SUM($D$29:Y29)-SUM($D$31:Y31)-SUM($D$33:Y33)-SUM($D$35:Y35)-SUM($D$37:Y37)-SUM($D$39:Y39),IF(OR(_xlpm.x&lt;0, INDEX(X:X,ROW()-1)&lt;0), _xlpm.x, 0))</f>
        <v>-1995763.1210529367</v>
      </c>
      <c r="Z40" s="125" cm="1">
        <f t="array" ref="Z40">_xlfn.LET(_xlpm.x, Z5-SUM($D$7:Z7)-SUM($D$9:Z9)-SUM($D$11:Z11)-SUM($D$13:Z13)-SUM($D$15:Z15)-SUM($D$17:Z17)-SUM($D$19:Z19)-SUM($D$21:Z21)-SUM($D$23:Z23)-SUM($D$25:Z25)-SUM($D$27:Z27)-SUM($D$29:Z29)-SUM($D$31:Z31)-SUM($D$33:Z33)-SUM($D$35:Z35)-SUM($D$37:Z37)-SUM($D$39:Z39),IF(OR(_xlpm.x&lt;0, INDEX(Y:Y,ROW()-1)&lt;0), _xlpm.x, 0))</f>
        <v>-1497669.4120301893</v>
      </c>
      <c r="AA40" s="125" cm="1">
        <f t="array" ref="AA40">_xlfn.LET(_xlpm.x, AA5-SUM($D$7:AA7)-SUM($D$9:AA9)-SUM($D$11:AA11)-SUM($D$13:AA13)-SUM($D$15:AA15)-SUM($D$17:AA17)-SUM($D$19:AA19)-SUM($D$21:AA21)-SUM($D$23:AA23)-SUM($D$25:AA25)-SUM($D$27:AA27)-SUM($D$29:AA29)-SUM($D$31:AA31)-SUM($D$33:AA33)-SUM($D$35:AA35)-SUM($D$37:AA37)-SUM($D$39:AA39),IF(OR(_xlpm.x&lt;0, INDEX(Z:Z,ROW()-1)&lt;0), _xlpm.x, 0))</f>
        <v>-989613.82882698718</v>
      </c>
      <c r="AB40" s="125" cm="1">
        <f t="array" ref="AB40">_xlfn.LET(_xlpm.x, AB5-SUM($D$7:AB7)-SUM($D$9:AB9)-SUM($D$11:AB11)-SUM($D$13:AB13)-SUM($D$15:AB15)-SUM($D$17:AB17)-SUM($D$19:AB19)-SUM($D$21:AB21)-SUM($D$23:AB23)-SUM($D$25:AB25)-SUM($D$27:AB27)-SUM($D$29:AB29)-SUM($D$31:AB31)-SUM($D$33:AB33)-SUM($D$35:AB35)-SUM($D$37:AB37)-SUM($D$39:AB39),IF(OR(_xlpm.x&lt;0, INDEX(AA:AA,ROW()-1)&lt;0), _xlpm.x, 0))</f>
        <v>-471397.13395972078</v>
      </c>
      <c r="AC40" s="125" cm="1">
        <f t="array" ref="AC40">_xlfn.LET(_xlpm.x, AC5-SUM($D$7:AC7)-SUM($D$9:AC9)-SUM($D$11:AC11)-SUM($D$13:AC13)-SUM($D$15:AC15)-SUM($D$17:AC17)-SUM($D$19:AC19)-SUM($D$21:AC21)-SUM($D$23:AC23)-SUM($D$25:AC25)-SUM($D$27:AC27)-SUM($D$29:AC29)-SUM($D$31:AC31)-SUM($D$33:AC33)-SUM($D$35:AC35)-SUM($D$37:AC37)-SUM($D$39:AC39),IF(OR(_xlpm.x&lt;0, INDEX(AB:AB,ROW()-1)&lt;0), _xlpm.x, 0))</f>
        <v>-47572.352053005176</v>
      </c>
      <c r="AD40" s="345" cm="1">
        <f t="array" ref="AD40">_xlfn.LET(_xlpm.x, AD5-SUM($D$7:AD7)-SUM($D$9:AD9)-SUM($D$11:AD11)-SUM($D$13:AD13)-SUM($D$15:AD15)-SUM($D$17:AD17)-SUM($D$19:AD19)-SUM($D$21:AD21)-SUM($D$23:AD23)-SUM($D$25:AD25)-SUM($D$27:AD27)-SUM($D$29:AD29)-SUM($D$31:AD31)-SUM($D$33:AD33)-SUM($D$35:AD35)-SUM($D$37:AD37)-SUM($D$39:AD39),IF(OR(_xlpm.x&lt;0, INDEX(AC:AC,ROW()-1)&lt;0), _xlpm.x, 0))</f>
        <v>0</v>
      </c>
      <c r="AE40" s="125" cm="1">
        <f t="array" ref="AE40">_xlfn.LET(_xlpm.x, AE5-SUM($D$7:AE7)-SUM($D$9:AE9)-SUM($D$11:AE11)-SUM($D$13:AE13)-SUM($D$15:AE15)-SUM($D$17:AE17)-SUM($D$19:AE19)-SUM($D$21:AE21)-SUM($D$23:AE23)-SUM($D$25:AE25)-SUM($D$27:AE27)-SUM($D$29:AE29)-SUM($D$31:AE31)-SUM($D$33:AE33)-SUM($D$35:AE35)-SUM($D$37:AE37)-SUM($D$39:AE39),IF(OR(_xlpm.x&lt;0, INDEX(AD:AD,ROW()-1)&lt;0), _xlpm.x, 0))</f>
        <v>0</v>
      </c>
    </row>
    <row r="41" spans="1:32">
      <c r="A41" s="144" t="s">
        <v>279</v>
      </c>
      <c r="B41" s="144">
        <v>52</v>
      </c>
      <c r="C41" s="145" t="s">
        <v>118</v>
      </c>
      <c r="D41" s="145" t="str">
        <f>INDEX('San Collection - Oversize'!$L$12:$AM$33, MATCH($B$41,'San Collection - Oversize'!$A$12:$A$33,0),MATCH(D3,'San Collection - Oversize'!$L$10:$AM$10,0))</f>
        <v/>
      </c>
      <c r="E41" s="145" t="str">
        <f>INDEX('San Collection - Oversize'!$L$12:$AM$33, MATCH($B$41,'San Collection - Oversize'!$A$12:$A$33,0),MATCH(E3,'San Collection - Oversize'!$L$10:$AM$10,0))</f>
        <v/>
      </c>
      <c r="F41" s="145" t="str">
        <f>INDEX('San Collection - Oversize'!$L$12:$AM$33, MATCH($B$41,'San Collection - Oversize'!$A$12:$A$33,0),MATCH(F3,'San Collection - Oversize'!$L$10:$AM$10,0))</f>
        <v/>
      </c>
      <c r="G41" s="145" t="str">
        <f>INDEX('San Collection - Oversize'!$L$12:$AM$33, MATCH($B$41,'San Collection - Oversize'!$A$12:$A$33,0),MATCH(G3,'San Collection - Oversize'!$L$10:$AM$10,0))</f>
        <v/>
      </c>
      <c r="H41" s="145" t="str">
        <f>INDEX('San Collection - Oversize'!$L$12:$AM$33, MATCH($B$41,'San Collection - Oversize'!$A$12:$A$33,0),MATCH(H3,'San Collection - Oversize'!$L$10:$AM$10,0))</f>
        <v/>
      </c>
      <c r="I41" s="145" t="str">
        <f>INDEX('San Collection - Oversize'!$L$12:$AM$33, MATCH($B$41,'San Collection - Oversize'!$A$12:$A$33,0),MATCH(I3,'San Collection - Oversize'!$L$10:$AM$10,0))</f>
        <v/>
      </c>
      <c r="J41" s="145" t="str">
        <f>INDEX('San Collection - Oversize'!$L$12:$AM$33, MATCH($B$41,'San Collection - Oversize'!$A$12:$A$33,0),MATCH(J3,'San Collection - Oversize'!$L$10:$AM$10,0))</f>
        <v/>
      </c>
      <c r="K41" s="145" t="str">
        <f>INDEX('San Collection - Oversize'!$L$12:$AM$33, MATCH($B$41,'San Collection - Oversize'!$A$12:$A$33,0),MATCH(K3,'San Collection - Oversize'!$L$10:$AM$10,0))</f>
        <v/>
      </c>
      <c r="L41" s="145" t="str">
        <f>INDEX('San Collection - Oversize'!$L$12:$AM$33, MATCH($B$41,'San Collection - Oversize'!$A$12:$A$33,0),MATCH(L3,'San Collection - Oversize'!$L$10:$AM$10,0))</f>
        <v/>
      </c>
      <c r="M41" s="145" t="str">
        <f>INDEX('San Collection - Oversize'!$L$12:$AM$33, MATCH($B$41,'San Collection - Oversize'!$A$12:$A$33,0),MATCH(M3,'San Collection - Oversize'!$L$10:$AM$10,0))</f>
        <v/>
      </c>
      <c r="N41" s="145" t="str">
        <f>INDEX('San Collection - Oversize'!$L$12:$AM$33, MATCH($B$41,'San Collection - Oversize'!$A$12:$A$33,0),MATCH(N3,'San Collection - Oversize'!$L$10:$AM$10,0))</f>
        <v/>
      </c>
      <c r="O41" s="145" t="str">
        <f>INDEX('San Collection - Oversize'!$L$12:$AM$33, MATCH($B$41,'San Collection - Oversize'!$A$12:$A$33,0),MATCH(O3,'San Collection - Oversize'!$L$10:$AM$10,0))</f>
        <v/>
      </c>
      <c r="P41" s="145" t="str">
        <f>INDEX('San Collection - Oversize'!$L$12:$AM$33, MATCH($B$41,'San Collection - Oversize'!$A$12:$A$33,0),MATCH(P3,'San Collection - Oversize'!$L$10:$AM$10,0))</f>
        <v/>
      </c>
      <c r="Q41" s="145" t="str">
        <f>INDEX('San Collection - Oversize'!$L$12:$AM$33, MATCH($B$41,'San Collection - Oversize'!$A$12:$A$33,0),MATCH(Q3,'San Collection - Oversize'!$L$10:$AM$10,0))</f>
        <v/>
      </c>
      <c r="R41" s="145" t="str">
        <f>INDEX('San Collection - Oversize'!$L$12:$AM$33, MATCH($B$41,'San Collection - Oversize'!$A$12:$A$33,0),MATCH(R3,'San Collection - Oversize'!$L$10:$AM$10,0))</f>
        <v/>
      </c>
      <c r="S41" s="145" t="str">
        <f>INDEX('San Collection - Oversize'!$L$12:$AM$33, MATCH($B$41,'San Collection - Oversize'!$A$12:$A$33,0),MATCH(S3,'San Collection - Oversize'!$L$10:$AM$10,0))</f>
        <v/>
      </c>
      <c r="T41" s="145" t="str">
        <f>INDEX('San Collection - Oversize'!$L$12:$AM$33, MATCH($B$41,'San Collection - Oversize'!$A$12:$A$33,0),MATCH(T3,'San Collection - Oversize'!$L$10:$AM$10,0))</f>
        <v/>
      </c>
      <c r="U41" s="145" t="str">
        <f>INDEX('San Collection - Oversize'!$L$12:$AM$33, MATCH($B$41,'San Collection - Oversize'!$A$12:$A$33,0),MATCH(U3,'San Collection - Oversize'!$L$10:$AM$10,0))</f>
        <v/>
      </c>
      <c r="V41" s="145">
        <f>INDEX('San Collection - Oversize'!$L$12:$AM$33, MATCH($B$41,'San Collection - Oversize'!$A$12:$A$33,0),MATCH(V3,'San Collection - Oversize'!$L$10:$AM$10,0))</f>
        <v>34109.736156241219</v>
      </c>
      <c r="W41" s="145">
        <f>INDEX('San Collection - Oversize'!$L$12:$AM$33, MATCH($B$41,'San Collection - Oversize'!$A$12:$A$33,0),MATCH(W3,'San Collection - Oversize'!$L$10:$AM$10,0))</f>
        <v>34962.479560147243</v>
      </c>
      <c r="X41" s="145" t="str">
        <f>INDEX('San Collection - Oversize'!$L$12:$AM$33, MATCH($B$41,'San Collection - Oversize'!$A$12:$A$33,0),MATCH(X3,'San Collection - Oversize'!$L$10:$AM$10,0))</f>
        <v/>
      </c>
      <c r="Y41" s="145" t="str">
        <f>INDEX('San Collection - Oversize'!$L$12:$AM$33, MATCH($B$41,'San Collection - Oversize'!$A$12:$A$33,0),MATCH(Y3,'San Collection - Oversize'!$L$10:$AM$10,0))</f>
        <v/>
      </c>
      <c r="Z41" s="145" t="str">
        <f>INDEX('San Collection - Oversize'!$L$12:$AM$33, MATCH($B$41,'San Collection - Oversize'!$A$12:$A$33,0),MATCH(Z3,'San Collection - Oversize'!$L$10:$AM$10,0))</f>
        <v/>
      </c>
      <c r="AA41" s="145" t="str">
        <f>INDEX('San Collection - Oversize'!$L$12:$AM$33, MATCH($B$41,'San Collection - Oversize'!$A$12:$A$33,0),MATCH(AA3,'San Collection - Oversize'!$L$10:$AM$10,0))</f>
        <v/>
      </c>
      <c r="AB41" s="145" t="str">
        <f>INDEX('San Collection - Oversize'!$L$12:$AM$33, MATCH($B$41,'San Collection - Oversize'!$A$12:$A$33,0),MATCH(AB3,'San Collection - Oversize'!$L$10:$AM$10,0))</f>
        <v/>
      </c>
      <c r="AC41" s="145" t="str">
        <f>INDEX('San Collection - Oversize'!$L$12:$AM$33, MATCH($B$41,'San Collection - Oversize'!$A$12:$A$33,0),MATCH(AC3,'San Collection - Oversize'!$L$10:$AM$10,0))</f>
        <v/>
      </c>
      <c r="AD41" s="145" t="str">
        <f>INDEX('San Collection - Oversize'!$L$12:$AM$33, MATCH($B$41,'San Collection - Oversize'!$A$12:$A$33,0),MATCH(AD3,'San Collection - Oversize'!$L$10:$AM$10,0))</f>
        <v/>
      </c>
      <c r="AE41" s="145" t="str">
        <f>INDEX('San Collection - Oversize'!$L$12:$AM$33, MATCH($B$41,'San Collection - Oversize'!$A$12:$A$33,0),MATCH(AE3,'San Collection - Oversize'!$L$10:$AM$10,0))</f>
        <v/>
      </c>
      <c r="AF41" s="690">
        <f>SUM(C41:AC41)</f>
        <v>69072.215716388455</v>
      </c>
    </row>
    <row r="42" spans="1:32">
      <c r="A42" s="631"/>
      <c r="B42" s="141"/>
      <c r="C42" s="125"/>
      <c r="D42" s="125"/>
      <c r="E42" s="125"/>
      <c r="F42" s="125"/>
      <c r="G42" s="125"/>
      <c r="H42" s="125"/>
      <c r="I42" s="125"/>
      <c r="J42" s="125"/>
      <c r="K42" s="125"/>
      <c r="L42" s="125"/>
      <c r="M42" s="125"/>
      <c r="N42" s="125"/>
      <c r="O42" s="125"/>
      <c r="P42" s="125"/>
      <c r="Q42" s="125"/>
      <c r="R42" s="125"/>
      <c r="S42" s="125"/>
      <c r="T42" s="125"/>
      <c r="U42" s="125"/>
      <c r="V42" s="125" cm="1">
        <f t="array" ref="V42">_xlfn.LET(_xlpm.x, V5-SUM($D$7:V7)-SUM($D$9:V9)-SUM($D$11:V11)-SUM($D$13:V13)-SUM($D$15:V15)-SUM($D$17:V17)-SUM($D$19:V19)-SUM($D$21:V21)-SUM($D$23:V23)-SUM($D$25:V25)-SUM($D$27:V27)-SUM($D$29:V29)-SUM($D$31:V31)-SUM($D$33:V33)-SUM($D$35:V35)-SUM($D$37:V37)-SUM($D$39:V39)-SUM($D$41:V41),IF(OR(_xlpm.x&lt;0, INDEX(U:U,ROW()-1)&lt;0), _xlpm.x, 0))</f>
        <v>-3466316.972870966</v>
      </c>
      <c r="W42" s="125" cm="1">
        <f t="array" ref="W42">_xlfn.LET(_xlpm.x, W5-SUM($D$7:W7)-SUM($D$9:W9)-SUM($D$11:W11)-SUM($D$13:W13)-SUM($D$15:W15)-SUM($D$17:W17)-SUM($D$19:W19)-SUM($D$21:W21)-SUM($D$23:W23)-SUM($D$25:W25)-SUM($D$27:W27)-SUM($D$29:W29)-SUM($D$31:W31)-SUM($D$33:W33)-SUM($D$35:W35)-SUM($D$37:W37)-SUM($D$39:W39)-SUM($D$41:W41),IF(OR(_xlpm.x&lt;0, INDEX(V:V,ROW()-1)&lt;0), _xlpm.x, 0))</f>
        <v>-3031914.6257216027</v>
      </c>
      <c r="X42" s="125" cm="1">
        <f t="array" ref="X42">_xlfn.LET(_xlpm.x, X5-SUM($D$7:X7)-SUM($D$9:X9)-SUM($D$11:X11)-SUM($D$13:X13)-SUM($D$15:X15)-SUM($D$17:X17)-SUM($D$19:X19)-SUM($D$21:X21)-SUM($D$23:X23)-SUM($D$25:X25)-SUM($D$27:X27)-SUM($D$29:X29)-SUM($D$31:X31)-SUM($D$33:X33)-SUM($D$35:X35)-SUM($D$37:X37)-SUM($D$39:X39)-SUM($D$41:X41),IF(OR(_xlpm.x&lt;0, INDEX(W:W,ROW()-1)&lt;0), _xlpm.x, 0))</f>
        <v>-2553162.5024779011</v>
      </c>
      <c r="Y42" s="125" cm="1">
        <f t="array" ref="Y42">_xlfn.LET(_xlpm.x, Y5-SUM($D$7:Y7)-SUM($D$9:Y9)-SUM($D$11:Y11)-SUM($D$13:Y13)-SUM($D$15:Y15)-SUM($D$17:Y17)-SUM($D$19:Y19)-SUM($D$21:Y21)-SUM($D$23:Y23)-SUM($D$25:Y25)-SUM($D$27:Y27)-SUM($D$29:Y29)-SUM($D$31:Y31)-SUM($D$33:Y33)-SUM($D$35:Y35)-SUM($D$37:Y37)-SUM($D$39:Y39)-SUM($D$41:Y41),IF(OR(_xlpm.x&lt;0, INDEX(X:X,ROW()-1)&lt;0), _xlpm.x, 0))</f>
        <v>-2064835.3367693252</v>
      </c>
      <c r="Z42" s="125" cm="1">
        <f t="array" ref="Z42">_xlfn.LET(_xlpm.x, Z5-SUM($D$7:Z7)-SUM($D$9:Z9)-SUM($D$11:Z11)-SUM($D$13:Z13)-SUM($D$15:Z15)-SUM($D$17:Z17)-SUM($D$19:Z19)-SUM($D$21:Z21)-SUM($D$23:Z23)-SUM($D$25:Z25)-SUM($D$27:Z27)-SUM($D$29:Z29)-SUM($D$31:Z31)-SUM($D$33:Z33)-SUM($D$35:Z35)-SUM($D$37:Z37)-SUM($D$39:Z39)-SUM($D$41:Z41),IF(OR(_xlpm.x&lt;0, INDEX(Y:Y,ROW()-1)&lt;0), _xlpm.x, 0))</f>
        <v>-1566741.6277465778</v>
      </c>
      <c r="AA42" s="125" cm="1">
        <f t="array" ref="AA42">_xlfn.LET(_xlpm.x, AA5-SUM($D$7:AA7)-SUM($D$9:AA9)-SUM($D$11:AA11)-SUM($D$13:AA13)-SUM($D$15:AA15)-SUM($D$17:AA17)-SUM($D$19:AA19)-SUM($D$21:AA21)-SUM($D$23:AA23)-SUM($D$25:AA25)-SUM($D$27:AA27)-SUM($D$29:AA29)-SUM($D$31:AA31)-SUM($D$33:AA33)-SUM($D$35:AA35)-SUM($D$37:AA37)-SUM($D$39:AA39)-SUM($D$41:AA41),IF(OR(_xlpm.x&lt;0, INDEX(Z:Z,ROW()-1)&lt;0), _xlpm.x, 0))</f>
        <v>-1058686.0445433757</v>
      </c>
      <c r="AB42" s="125" cm="1">
        <f t="array" ref="AB42">_xlfn.LET(_xlpm.x, AB5-SUM($D$7:AB7)-SUM($D$9:AB9)-SUM($D$11:AB11)-SUM($D$13:AB13)-SUM($D$15:AB15)-SUM($D$17:AB17)-SUM($D$19:AB19)-SUM($D$21:AB21)-SUM($D$23:AB23)-SUM($D$25:AB25)-SUM($D$27:AB27)-SUM($D$29:AB29)-SUM($D$31:AB31)-SUM($D$33:AB33)-SUM($D$35:AB35)-SUM($D$37:AB37)-SUM($D$39:AB39)-SUM($D$41:AB41),IF(OR(_xlpm.x&lt;0, INDEX(AA:AA,ROW()-1)&lt;0), _xlpm.x, 0))</f>
        <v>-540469.34967610927</v>
      </c>
      <c r="AC42" s="125" cm="1">
        <f t="array" ref="AC42">_xlfn.LET(_xlpm.x, AC5-SUM($D$7:AC7)-SUM($D$9:AC9)-SUM($D$11:AC11)-SUM($D$13:AC13)-SUM($D$15:AC15)-SUM($D$17:AC17)-SUM($D$19:AC19)-SUM($D$21:AC21)-SUM($D$23:AC23)-SUM($D$25:AC25)-SUM($D$27:AC27)-SUM($D$29:AC29)-SUM($D$31:AC31)-SUM($D$33:AC33)-SUM($D$35:AC35)-SUM($D$37:AC37)-SUM($D$39:AC39)-SUM($D$41:AC41),IF(OR(_xlpm.x&lt;0, INDEX(AB:AB,ROW()-1)&lt;0), _xlpm.x, 0))</f>
        <v>-116644.56776939363</v>
      </c>
      <c r="AD42" s="345" cm="1">
        <f t="array" ref="AD42">_xlfn.LET(_xlpm.x, AD5-SUM($D$7:AD7)-SUM($D$9:AD9)-SUM($D$11:AD11)-SUM($D$13:AD13)-SUM($D$15:AD15)-SUM($D$17:AD17)-SUM($D$19:AD19)-SUM($D$21:AD21)-SUM($D$23:AD23)-SUM($D$25:AD25)-SUM($D$27:AD27)-SUM($D$29:AD29)-SUM($D$31:AD31)-SUM($D$33:AD33)-SUM($D$35:AD35)-SUM($D$37:AD37)-SUM($D$39:AD39)-SUM($D$41:AD41),IF(OR(_xlpm.x&lt;0, INDEX(AC:AC,ROW()-1)&lt;0), _xlpm.x, 0))</f>
        <v>0</v>
      </c>
      <c r="AE42" s="125" cm="1">
        <f t="array" ref="AE42">_xlfn.LET(_xlpm.x, AE5-SUM($D$7:AE7)-SUM($D$9:AE9)-SUM($D$11:AE11)-SUM($D$13:AE13)-SUM($D$15:AE15)-SUM($D$17:AE17)-SUM($D$19:AE19)-SUM($D$21:AE21)-SUM($D$23:AE23)-SUM($D$25:AE25)-SUM($D$27:AE27)-SUM($D$29:AE29)-SUM($D$31:AE31)-SUM($D$33:AE33)-SUM($D$35:AE35)-SUM($D$37:AE37)-SUM($D$39:AE39)-SUM($D$41:AE41),IF(OR(_xlpm.x&lt;0, INDEX(AD:AD,ROW()-1)&lt;0), _xlpm.x, 0))</f>
        <v>0</v>
      </c>
    </row>
    <row r="43" spans="1:32">
      <c r="A43" s="144" t="s">
        <v>279</v>
      </c>
      <c r="B43" s="144" t="s">
        <v>317</v>
      </c>
      <c r="C43" s="145" t="s">
        <v>118</v>
      </c>
      <c r="D43" s="145" t="str">
        <f>INDEX('San Collection - Oversize'!$L$12:$AM$33, MATCH($B$43,'San Collection - Oversize'!$A$12:$A$33,0),MATCH(D3,'San Collection - Oversize'!$L$10:$AM$10,0))</f>
        <v/>
      </c>
      <c r="E43" s="145" t="str">
        <f>INDEX('San Collection - Oversize'!$L$12:$AM$33, MATCH($B$43,'San Collection - Oversize'!$A$12:$A$33,0),MATCH(E3,'San Collection - Oversize'!$L$10:$AM$10,0))</f>
        <v/>
      </c>
      <c r="F43" s="145" t="str">
        <f>INDEX('San Collection - Oversize'!$L$12:$AM$33, MATCH($B$43,'San Collection - Oversize'!$A$12:$A$33,0),MATCH(F3,'San Collection - Oversize'!$L$10:$AM$10,0))</f>
        <v/>
      </c>
      <c r="G43" s="145" t="str">
        <f>INDEX('San Collection - Oversize'!$L$12:$AM$33, MATCH($B$43,'San Collection - Oversize'!$A$12:$A$33,0),MATCH(G3,'San Collection - Oversize'!$L$10:$AM$10,0))</f>
        <v/>
      </c>
      <c r="H43" s="145" t="str">
        <f>INDEX('San Collection - Oversize'!$L$12:$AM$33, MATCH($B$43,'San Collection - Oversize'!$A$12:$A$33,0),MATCH(H3,'San Collection - Oversize'!$L$10:$AM$10,0))</f>
        <v/>
      </c>
      <c r="I43" s="145" t="str">
        <f>INDEX('San Collection - Oversize'!$L$12:$AM$33, MATCH($B$43,'San Collection - Oversize'!$A$12:$A$33,0),MATCH(I3,'San Collection - Oversize'!$L$10:$AM$10,0))</f>
        <v/>
      </c>
      <c r="J43" s="145" t="str">
        <f>INDEX('San Collection - Oversize'!$L$12:$AM$33, MATCH($B$43,'San Collection - Oversize'!$A$12:$A$33,0),MATCH(J3,'San Collection - Oversize'!$L$10:$AM$10,0))</f>
        <v/>
      </c>
      <c r="K43" s="145" t="str">
        <f>INDEX('San Collection - Oversize'!$L$12:$AM$33, MATCH($B$43,'San Collection - Oversize'!$A$12:$A$33,0),MATCH(K3,'San Collection - Oversize'!$L$10:$AM$10,0))</f>
        <v/>
      </c>
      <c r="L43" s="145" t="str">
        <f>INDEX('San Collection - Oversize'!$L$12:$AM$33, MATCH($B$43,'San Collection - Oversize'!$A$12:$A$33,0),MATCH(L3,'San Collection - Oversize'!$L$10:$AM$10,0))</f>
        <v/>
      </c>
      <c r="M43" s="145" t="str">
        <f>INDEX('San Collection - Oversize'!$L$12:$AM$33, MATCH($B$43,'San Collection - Oversize'!$A$12:$A$33,0),MATCH(M3,'San Collection - Oversize'!$L$10:$AM$10,0))</f>
        <v/>
      </c>
      <c r="N43" s="145" t="str">
        <f>INDEX('San Collection - Oversize'!$L$12:$AM$33, MATCH($B$43,'San Collection - Oversize'!$A$12:$A$33,0),MATCH(N3,'San Collection - Oversize'!$L$10:$AM$10,0))</f>
        <v/>
      </c>
      <c r="O43" s="145" t="str">
        <f>INDEX('San Collection - Oversize'!$L$12:$AM$33, MATCH($B$43,'San Collection - Oversize'!$A$12:$A$33,0),MATCH(O3,'San Collection - Oversize'!$L$10:$AM$10,0))</f>
        <v/>
      </c>
      <c r="P43" s="145" t="str">
        <f>INDEX('San Collection - Oversize'!$L$12:$AM$33, MATCH($B$43,'San Collection - Oversize'!$A$12:$A$33,0),MATCH(P3,'San Collection - Oversize'!$L$10:$AM$10,0))</f>
        <v/>
      </c>
      <c r="Q43" s="145" t="str">
        <f>INDEX('San Collection - Oversize'!$L$12:$AM$33, MATCH($B$43,'San Collection - Oversize'!$A$12:$A$33,0),MATCH(Q3,'San Collection - Oversize'!$L$10:$AM$10,0))</f>
        <v/>
      </c>
      <c r="R43" s="145" t="str">
        <f>INDEX('San Collection - Oversize'!$L$12:$AM$33, MATCH($B$43,'San Collection - Oversize'!$A$12:$A$33,0),MATCH(R3,'San Collection - Oversize'!$L$10:$AM$10,0))</f>
        <v/>
      </c>
      <c r="S43" s="145" t="str">
        <f>INDEX('San Collection - Oversize'!$L$12:$AM$33, MATCH($B$43,'San Collection - Oversize'!$A$12:$A$33,0),MATCH(S3,'San Collection - Oversize'!$L$10:$AM$10,0))</f>
        <v/>
      </c>
      <c r="T43" s="145" t="str">
        <f>INDEX('San Collection - Oversize'!$L$12:$AM$33, MATCH($B$43,'San Collection - Oversize'!$A$12:$A$33,0),MATCH(T3,'San Collection - Oversize'!$L$10:$AM$10,0))</f>
        <v/>
      </c>
      <c r="U43" s="145" t="str">
        <f>INDEX('San Collection - Oversize'!$L$12:$AM$33, MATCH($B$43,'San Collection - Oversize'!$A$12:$A$33,0),MATCH(U3,'San Collection - Oversize'!$L$10:$AM$10,0))</f>
        <v/>
      </c>
      <c r="V43" s="145" t="str">
        <f>INDEX('San Collection - Oversize'!$L$12:$AM$33, MATCH($B$43,'San Collection - Oversize'!$A$12:$A$33,0),MATCH(V3,'San Collection - Oversize'!$L$10:$AM$10,0))</f>
        <v/>
      </c>
      <c r="W43" s="145" t="str">
        <f>INDEX('San Collection - Oversize'!$L$12:$AM$33, MATCH($B$43,'San Collection - Oversize'!$A$12:$A$33,0),MATCH(W3,'San Collection - Oversize'!$L$10:$AM$10,0))</f>
        <v/>
      </c>
      <c r="X43" s="145" t="str">
        <f>INDEX('San Collection - Oversize'!$L$12:$AM$33, MATCH($B$43,'San Collection - Oversize'!$A$12:$A$33,0),MATCH(X3,'San Collection - Oversize'!$L$10:$AM$10,0))</f>
        <v/>
      </c>
      <c r="Y43" s="145" t="str">
        <f>INDEX('San Collection - Oversize'!$L$12:$AM$33, MATCH($B$43,'San Collection - Oversize'!$A$12:$A$33,0),MATCH(Y3,'San Collection - Oversize'!$L$10:$AM$10,0))</f>
        <v/>
      </c>
      <c r="Z43" s="145" t="str">
        <f>INDEX('San Collection - Oversize'!$L$12:$AM$33, MATCH($B$43,'San Collection - Oversize'!$A$12:$A$33,0),MATCH(Z3,'San Collection - Oversize'!$L$10:$AM$10,0))</f>
        <v/>
      </c>
      <c r="AA43" s="145">
        <f>INDEX('San Collection - Oversize'!$L$12:$AM$33, MATCH($B$43,'San Collection - Oversize'!$A$12:$A$33,0),MATCH(AA3,'San Collection - Oversize'!$L$10:$AM$10,0))</f>
        <v>52408.937270832037</v>
      </c>
      <c r="AB43" s="145">
        <f>INDEX('San Collection - Oversize'!$L$12:$AM$33, MATCH($B$43,'San Collection - Oversize'!$A$12:$A$33,0),MATCH(AB3,'San Collection - Oversize'!$L$10:$AM$10,0))</f>
        <v>53719.160702602836</v>
      </c>
      <c r="AC43" s="145" t="str">
        <f>INDEX('San Collection - Oversize'!$L$12:$AM$33, MATCH($B$43,'San Collection - Oversize'!$A$12:$A$33,0),MATCH(AC3,'San Collection - Oversize'!$L$10:$AM$10,0))</f>
        <v/>
      </c>
      <c r="AD43" s="145" t="str">
        <f>INDEX('San Collection - Oversize'!$L$12:$AM$33, MATCH($B$43,'San Collection - Oversize'!$A$12:$A$33,0),MATCH(AD3,'San Collection - Oversize'!$L$10:$AM$10,0))</f>
        <v/>
      </c>
      <c r="AE43" s="145" t="str">
        <f>INDEX('San Collection - Oversize'!$L$12:$AM$33, MATCH($B$43,'San Collection - Oversize'!$A$12:$A$33,0),MATCH(AE3,'San Collection - Oversize'!$L$10:$AM$10,0))</f>
        <v/>
      </c>
      <c r="AF43" s="690">
        <f>SUM(C43:AC43)</f>
        <v>106128.09797343487</v>
      </c>
    </row>
    <row r="44" spans="1:32">
      <c r="A44" s="631"/>
      <c r="B44" s="141"/>
      <c r="C44" s="125"/>
      <c r="D44" s="125"/>
      <c r="E44" s="125"/>
      <c r="F44" s="125"/>
      <c r="G44" s="125"/>
      <c r="H44" s="125"/>
      <c r="I44" s="125"/>
      <c r="J44" s="125"/>
      <c r="K44" s="125"/>
      <c r="L44" s="125"/>
      <c r="M44" s="125"/>
      <c r="N44" s="125"/>
      <c r="O44" s="125"/>
      <c r="P44" s="125"/>
      <c r="Q44" s="125"/>
      <c r="R44" s="125"/>
      <c r="S44" s="125"/>
      <c r="T44" s="125"/>
      <c r="U44" s="125"/>
      <c r="V44" s="125"/>
      <c r="W44" s="125"/>
      <c r="X44" s="125"/>
      <c r="Y44" s="125"/>
      <c r="Z44" s="125"/>
      <c r="AA44" s="125" cm="1">
        <f t="array" ref="AA44">_xlfn.LET(_xlpm.x, AA5-SUM($D$7:AA7)-SUM($D$9:AA9)-SUM($D$11:AA11)-SUM($D$13:AA13)-SUM($D$15:AA15)-SUM($D$17:AA17)-SUM($D$19:AA19)-SUM($D$21:AA21)-SUM($D$23:AA23)-SUM($D$25:AA25)-SUM($D$27:AA27)-SUM($D$29:AA29)-SUM($D$31:AA31)-SUM($D$33:AA33)-SUM($D$35:AA35)-SUM($D$37:AA37)-SUM($D$39:AA39)-SUM($D$41:AA41),IF(OR(_xlpm.x&lt;0, INDEX(Z:Z,ROW()-1)&lt;0), _xlpm.x, 0))</f>
        <v>-1058686.0445433757</v>
      </c>
      <c r="AB44" s="125" cm="1">
        <f t="array" ref="AB44">_xlfn.LET(_xlpm.x, AB5-SUM($D$7:AB7)-SUM($D$9:AB9)-SUM($D$11:AB11)-SUM($D$13:AB13)-SUM($D$15:AB15)-SUM($D$17:AB17)-SUM($D$19:AB19)-SUM($D$21:AB21)-SUM($D$23:AB23)-SUM($D$25:AB25)-SUM($D$27:AB27)-SUM($D$29:AB29)-SUM($D$31:AB31)-SUM($D$33:AB33)-SUM($D$35:AB35)-SUM($D$37:AB37)-SUM($D$39:AB39)-SUM($D$41:AB41),IF(OR(_xlpm.x&lt;0, INDEX(AA:AA,ROW()-1)&lt;0), _xlpm.x, 0))</f>
        <v>-540469.34967610927</v>
      </c>
      <c r="AC44" s="125" cm="1">
        <f t="array" ref="AC44">_xlfn.LET(_xlpm.x, AC5-SUM($D$7:AC7)-SUM($D$9:AC9)-SUM($D$11:AC11)-SUM($D$13:AC13)-SUM($D$15:AC15)-SUM($D$17:AC17)-SUM($D$19:AC19)-SUM($D$21:AC21)-SUM($D$23:AC23)-SUM($D$25:AC25)-SUM($D$27:AC27)-SUM($D$29:AC29)-SUM($D$31:AC31)-SUM($D$33:AC33)-SUM($D$35:AC35)-SUM($D$37:AC37)-SUM($D$39:AC39)-SUM($D$41:AC41),IF(OR(_xlpm.x&lt;0, INDEX(AB:AB,ROW()-1)&lt;0), _xlpm.x, 0))</f>
        <v>-116644.56776939363</v>
      </c>
      <c r="AD44" s="345" cm="1">
        <f t="array" ref="AD44">_xlfn.LET(_xlpm.x, AD5-SUM($D$7:AD7)-SUM($D$9:AD9)-SUM($D$11:AD11)-SUM($D$13:AD13)-SUM($D$15:AD15)-SUM($D$17:AD17)-SUM($D$19:AD19)-SUM($D$21:AD21)-SUM($D$23:AD23)-SUM($D$25:AD25)-SUM($D$27:AD27)-SUM($D$29:AD29)-SUM($D$31:AD31)-SUM($D$33:AD33)-SUM($D$35:AD35)-SUM($D$37:AD37)-SUM($D$39:AD39)-SUM($D$41:AD41),IF(OR(_xlpm.x&lt;0, INDEX(AC:AC,ROW()-1)&lt;0), _xlpm.x, 0))</f>
        <v>0</v>
      </c>
      <c r="AE44" s="125" cm="1">
        <f t="array" ref="AE44">_xlfn.LET(_xlpm.x, AE5-SUM($D$7:AE7)-SUM($D$9:AE9)-SUM($D$11:AE11)-SUM($D$13:AE13)-SUM($D$15:AE15)-SUM($D$17:AE17)-SUM($D$19:AE19)-SUM($D$21:AE21)-SUM($D$23:AE23)-SUM($D$25:AE25)-SUM($D$27:AE27)-SUM($D$29:AE29)-SUM($D$31:AE31)-SUM($D$33:AE33)-SUM($D$35:AE35)-SUM($D$37:AE37)-SUM($D$39:AE39)-SUM($D$41:AE41),IF(OR(_xlpm.x&lt;0, INDEX(AD:AD,ROW()-1)&lt;0), _xlpm.x, 0))</f>
        <v>0</v>
      </c>
    </row>
    <row r="45" spans="1:32">
      <c r="A45" s="144" t="s">
        <v>279</v>
      </c>
      <c r="B45" s="144" t="s">
        <v>318</v>
      </c>
      <c r="C45" s="145" t="s">
        <v>118</v>
      </c>
      <c r="D45" s="145" t="str">
        <f>INDEX('San Collection - Oversize'!$L$12:$AM$33, MATCH($B$45,'San Collection - Oversize'!$A$12:$A$33,0),MATCH(D3,'San Collection - Oversize'!$L$10:$AM$10,0))</f>
        <v/>
      </c>
      <c r="E45" s="145" t="str">
        <f>INDEX('San Collection - Oversize'!$L$12:$AM$33, MATCH($B$45,'San Collection - Oversize'!$A$12:$A$33,0),MATCH(E3,'San Collection - Oversize'!$L$10:$AM$10,0))</f>
        <v/>
      </c>
      <c r="F45" s="145" t="str">
        <f>INDEX('San Collection - Oversize'!$L$12:$AM$33, MATCH($B$45,'San Collection - Oversize'!$A$12:$A$33,0),MATCH(F3,'San Collection - Oversize'!$L$10:$AM$10,0))</f>
        <v/>
      </c>
      <c r="G45" s="145" t="str">
        <f>INDEX('San Collection - Oversize'!$L$12:$AM$33, MATCH($B$45,'San Collection - Oversize'!$A$12:$A$33,0),MATCH(G3,'San Collection - Oversize'!$L$10:$AM$10,0))</f>
        <v/>
      </c>
      <c r="H45" s="145" t="str">
        <f>INDEX('San Collection - Oversize'!$L$12:$AM$33, MATCH($B$45,'San Collection - Oversize'!$A$12:$A$33,0),MATCH(H3,'San Collection - Oversize'!$L$10:$AM$10,0))</f>
        <v/>
      </c>
      <c r="I45" s="145" t="str">
        <f>INDEX('San Collection - Oversize'!$L$12:$AM$33, MATCH($B$45,'San Collection - Oversize'!$A$12:$A$33,0),MATCH(I3,'San Collection - Oversize'!$L$10:$AM$10,0))</f>
        <v/>
      </c>
      <c r="J45" s="145" t="str">
        <f>INDEX('San Collection - Oversize'!$L$12:$AM$33, MATCH($B$45,'San Collection - Oversize'!$A$12:$A$33,0),MATCH(J3,'San Collection - Oversize'!$L$10:$AM$10,0))</f>
        <v/>
      </c>
      <c r="K45" s="145" t="str">
        <f>INDEX('San Collection - Oversize'!$L$12:$AM$33, MATCH($B$45,'San Collection - Oversize'!$A$12:$A$33,0),MATCH(K3,'San Collection - Oversize'!$L$10:$AM$10,0))</f>
        <v/>
      </c>
      <c r="L45" s="145" t="str">
        <f>INDEX('San Collection - Oversize'!$L$12:$AM$33, MATCH($B$45,'San Collection - Oversize'!$A$12:$A$33,0),MATCH(L3,'San Collection - Oversize'!$L$10:$AM$10,0))</f>
        <v/>
      </c>
      <c r="M45" s="145" t="str">
        <f>INDEX('San Collection - Oversize'!$L$12:$AM$33, MATCH($B$45,'San Collection - Oversize'!$A$12:$A$33,0),MATCH(M3,'San Collection - Oversize'!$L$10:$AM$10,0))</f>
        <v/>
      </c>
      <c r="N45" s="145" t="str">
        <f>INDEX('San Collection - Oversize'!$L$12:$AM$33, MATCH($B$45,'San Collection - Oversize'!$A$12:$A$33,0),MATCH(N3,'San Collection - Oversize'!$L$10:$AM$10,0))</f>
        <v/>
      </c>
      <c r="O45" s="145" t="str">
        <f>INDEX('San Collection - Oversize'!$L$12:$AM$33, MATCH($B$45,'San Collection - Oversize'!$A$12:$A$33,0),MATCH(O3,'San Collection - Oversize'!$L$10:$AM$10,0))</f>
        <v/>
      </c>
      <c r="P45" s="145" t="str">
        <f>INDEX('San Collection - Oversize'!$L$12:$AM$33, MATCH($B$45,'San Collection - Oversize'!$A$12:$A$33,0),MATCH(P3,'San Collection - Oversize'!$L$10:$AM$10,0))</f>
        <v/>
      </c>
      <c r="Q45" s="145" t="str">
        <f>INDEX('San Collection - Oversize'!$L$12:$AM$33, MATCH($B$45,'San Collection - Oversize'!$A$12:$A$33,0),MATCH(Q3,'San Collection - Oversize'!$L$10:$AM$10,0))</f>
        <v/>
      </c>
      <c r="R45" s="145" t="str">
        <f>INDEX('San Collection - Oversize'!$L$12:$AM$33, MATCH($B$45,'San Collection - Oversize'!$A$12:$A$33,0),MATCH(R3,'San Collection - Oversize'!$L$10:$AM$10,0))</f>
        <v/>
      </c>
      <c r="S45" s="145" t="str">
        <f>INDEX('San Collection - Oversize'!$L$12:$AM$33, MATCH($B$45,'San Collection - Oversize'!$A$12:$A$33,0),MATCH(S3,'San Collection - Oversize'!$L$10:$AM$10,0))</f>
        <v/>
      </c>
      <c r="T45" s="145" t="str">
        <f>INDEX('San Collection - Oversize'!$L$12:$AM$33, MATCH($B$45,'San Collection - Oversize'!$A$12:$A$33,0),MATCH(T3,'San Collection - Oversize'!$L$10:$AM$10,0))</f>
        <v/>
      </c>
      <c r="U45" s="145" t="str">
        <f>INDEX('San Collection - Oversize'!$L$12:$AM$33, MATCH($B$45,'San Collection - Oversize'!$A$12:$A$33,0),MATCH(U3,'San Collection - Oversize'!$L$10:$AM$10,0))</f>
        <v/>
      </c>
      <c r="V45" s="145" t="str">
        <f>INDEX('San Collection - Oversize'!$L$12:$AM$33, MATCH($B$45,'San Collection - Oversize'!$A$12:$A$33,0),MATCH(V3,'San Collection - Oversize'!$L$10:$AM$10,0))</f>
        <v/>
      </c>
      <c r="W45" s="145" t="str">
        <f>INDEX('San Collection - Oversize'!$L$12:$AM$33, MATCH($B$45,'San Collection - Oversize'!$A$12:$A$33,0),MATCH(W3,'San Collection - Oversize'!$L$10:$AM$10,0))</f>
        <v/>
      </c>
      <c r="X45" s="145" t="str">
        <f>INDEX('San Collection - Oversize'!$L$12:$AM$33, MATCH($B$45,'San Collection - Oversize'!$A$12:$A$33,0),MATCH(X3,'San Collection - Oversize'!$L$10:$AM$10,0))</f>
        <v/>
      </c>
      <c r="Y45" s="145" t="str">
        <f>INDEX('San Collection - Oversize'!$L$12:$AM$33, MATCH($B$45,'San Collection - Oversize'!$A$12:$A$33,0),MATCH(Y3,'San Collection - Oversize'!$L$10:$AM$10,0))</f>
        <v/>
      </c>
      <c r="Z45" s="145" t="str">
        <f>INDEX('San Collection - Oversize'!$L$12:$AM$33, MATCH($B$45,'San Collection - Oversize'!$A$12:$A$33,0),MATCH(Z3,'San Collection - Oversize'!$L$10:$AM$10,0))</f>
        <v/>
      </c>
      <c r="AA45" s="145">
        <f>INDEX('San Collection - Oversize'!$L$12:$AM$33, MATCH($B$45,'San Collection - Oversize'!$A$12:$A$33,0),MATCH(AA3,'San Collection - Oversize'!$L$10:$AM$10,0))</f>
        <v>7384.895706344515</v>
      </c>
      <c r="AB45" s="145">
        <f>INDEX('San Collection - Oversize'!$L$12:$AM$33, MATCH($B$45,'San Collection - Oversize'!$A$12:$A$33,0),MATCH(AB3,'San Collection - Oversize'!$L$10:$AM$10,0))</f>
        <v>7569.5180990031276</v>
      </c>
      <c r="AC45" s="145" t="str">
        <f>INDEX('San Collection - Oversize'!$L$12:$AM$33, MATCH($B$45,'San Collection - Oversize'!$A$12:$A$33,0),MATCH(AC3,'San Collection - Oversize'!$L$10:$AM$10,0))</f>
        <v/>
      </c>
      <c r="AD45" s="145" t="str">
        <f>INDEX('San Collection - Oversize'!$L$12:$AM$33, MATCH($B$45,'San Collection - Oversize'!$A$12:$A$33,0),MATCH(AD3,'San Collection - Oversize'!$L$10:$AM$10,0))</f>
        <v/>
      </c>
      <c r="AE45" s="145" t="str">
        <f>INDEX('San Collection - Oversize'!$L$12:$AM$33, MATCH($B$45,'San Collection - Oversize'!$A$12:$A$33,0),MATCH(AE3,'San Collection - Oversize'!$L$10:$AM$10,0))</f>
        <v/>
      </c>
      <c r="AF45" s="690">
        <f>SUM(C45:AC45)</f>
        <v>14954.413805347642</v>
      </c>
    </row>
    <row r="46" spans="1:32">
      <c r="A46" s="631"/>
      <c r="B46" s="141"/>
      <c r="C46" s="125"/>
      <c r="D46" s="125"/>
      <c r="E46" s="125"/>
      <c r="F46" s="125"/>
      <c r="G46" s="125"/>
      <c r="H46" s="125"/>
      <c r="I46" s="125"/>
      <c r="J46" s="125"/>
      <c r="K46" s="125"/>
      <c r="L46" s="125"/>
      <c r="M46" s="125"/>
      <c r="N46" s="125"/>
      <c r="O46" s="125"/>
      <c r="P46" s="125"/>
      <c r="Q46" s="125"/>
      <c r="R46" s="125"/>
      <c r="S46" s="125"/>
      <c r="T46" s="125"/>
      <c r="U46" s="125"/>
      <c r="V46" s="125"/>
      <c r="W46" s="125"/>
      <c r="X46" s="125"/>
      <c r="Y46" s="125"/>
      <c r="Z46" s="125"/>
      <c r="AA46" s="125" cm="1">
        <f t="array" ref="AA46">_xlfn.LET(_xlpm.x, AA5-SUM($D$7:AA7)-SUM($D$9:AA9)-SUM($D$11:AA11)-SUM($D$13:AA13)-SUM($D$15:AA15)-SUM($D$17:AA17)-SUM($D$19:AA19)-SUM($D$21:AA21)-SUM($D$23:AA23)-SUM($D$25:AA25)-SUM($D$27:AA27)-SUM($D$29:AA29)-SUM($D$31:AA31)-SUM($D$33:AA33)-SUM($D$35:AA35)-SUM($D$37:AA37)-SUM($D$39:AA39)-SUM($D$41:AA41)-SUM($D$43:AA43),IF(OR(_xlpm.x&lt;0, INDEX(Z:Z,ROW()-1)&lt;0), _xlpm.x, 0))</f>
        <v>-1111094.9818142077</v>
      </c>
      <c r="AB46" s="125" cm="1">
        <f t="array" ref="AB46">_xlfn.LET(_xlpm.x, AB5-SUM($D$7:AB7)-SUM($D$9:AB9)-SUM($D$11:AB11)-SUM($D$13:AB13)-SUM($D$15:AB15)-SUM($D$17:AB17)-SUM($D$19:AB19)-SUM($D$21:AB21)-SUM($D$23:AB23)-SUM($D$25:AB25)-SUM($D$27:AB27)-SUM($D$29:AB29)-SUM($D$31:AB31)-SUM($D$33:AB33)-SUM($D$35:AB35)-SUM($D$37:AB37)-SUM($D$39:AB39)-SUM($D$41:AB41)-SUM($D$43:AB43),IF(OR(_xlpm.x&lt;0, INDEX(AA:AA,ROW()-1)&lt;0), _xlpm.x, 0))</f>
        <v>-646597.4476495441</v>
      </c>
      <c r="AC46" s="125" cm="1">
        <f t="array" ref="AC46">_xlfn.LET(_xlpm.x, AC5-SUM($D$7:AC7)-SUM($D$9:AC9)-SUM($D$11:AC11)-SUM($D$13:AC13)-SUM($D$15:AC15)-SUM($D$17:AC17)-SUM($D$19:AC19)-SUM($D$21:AC21)-SUM($D$23:AC23)-SUM($D$25:AC25)-SUM($D$27:AC27)-SUM($D$29:AC29)-SUM($D$31:AC31)-SUM($D$33:AC33)-SUM($D$35:AC35)-SUM($D$37:AC37)-SUM($D$39:AC39)-SUM($D$41:AC41)-SUM($D$43:AC43),IF(OR(_xlpm.x&lt;0, INDEX(AB:AB,ROW()-1)&lt;0), _xlpm.x, 0))</f>
        <v>-222772.66574282851</v>
      </c>
      <c r="AD46" s="345" cm="1">
        <f t="array" ref="AD46">_xlfn.LET(_xlpm.x, AD5-SUM($D$7:AD7)-SUM($D$9:AD9)-SUM($D$11:AD11)-SUM($D$13:AD13)-SUM($D$15:AD15)-SUM($D$17:AD17)-SUM($D$19:AD19)-SUM($D$21:AD21)-SUM($D$23:AD23)-SUM($D$25:AD25)-SUM($D$27:AD27)-SUM($D$29:AD29)-SUM($D$31:AD31)-SUM($D$33:AD33)-SUM($D$35:AD35)-SUM($D$37:AD37)-SUM($D$39:AD39)-SUM($D$41:AD41)-SUM($D$43:AD43),IF(OR(_xlpm.x&lt;0, INDEX(AC:AC,ROW()-1)&lt;0), _xlpm.x, 0))</f>
        <v>0</v>
      </c>
      <c r="AE46" s="125" cm="1">
        <f t="array" ref="AE46">_xlfn.LET(_xlpm.x, AE5-SUM($D$7:AE7)-SUM($D$9:AE9)-SUM($D$11:AE11)-SUM($D$13:AE13)-SUM($D$15:AE15)-SUM($D$17:AE17)-SUM($D$19:AE19)-SUM($D$21:AE21)-SUM($D$23:AE23)-SUM($D$25:AE25)-SUM($D$27:AE27)-SUM($D$29:AE29)-SUM($D$31:AE31)-SUM($D$33:AE33)-SUM($D$35:AE35)-SUM($D$37:AE37)-SUM($D$39:AE39)-SUM($D$41:AE41)-SUM($D$43:AE43),IF(OR(_xlpm.x&lt;0, INDEX(AD:AD,ROW()-1)&lt;0), _xlpm.x, 0))</f>
        <v>0</v>
      </c>
    </row>
    <row r="47" spans="1:32">
      <c r="A47" s="144" t="s">
        <v>279</v>
      </c>
      <c r="B47" s="144" t="s">
        <v>319</v>
      </c>
      <c r="C47" s="145" t="s">
        <v>118</v>
      </c>
      <c r="D47" s="145" t="str">
        <f>INDEX('San Collection - Oversize'!$L$12:$AM$33, MATCH($B$47,'San Collection - Oversize'!$A$12:$A$33,0),MATCH(D3,'San Collection - Oversize'!$L$10:$AM$10,0))</f>
        <v/>
      </c>
      <c r="E47" s="145" t="str">
        <f>INDEX('San Collection - Oversize'!$L$12:$AM$33, MATCH($B$47,'San Collection - Oversize'!$A$12:$A$33,0),MATCH(E3,'San Collection - Oversize'!$L$10:$AM$10,0))</f>
        <v/>
      </c>
      <c r="F47" s="145" t="str">
        <f>INDEX('San Collection - Oversize'!$L$12:$AM$33, MATCH($B$47,'San Collection - Oversize'!$A$12:$A$33,0),MATCH(F3,'San Collection - Oversize'!$L$10:$AM$10,0))</f>
        <v/>
      </c>
      <c r="G47" s="145" t="str">
        <f>INDEX('San Collection - Oversize'!$L$12:$AM$33, MATCH($B$47,'San Collection - Oversize'!$A$12:$A$33,0),MATCH(G3,'San Collection - Oversize'!$L$10:$AM$10,0))</f>
        <v/>
      </c>
      <c r="H47" s="145" t="str">
        <f>INDEX('San Collection - Oversize'!$L$12:$AM$33, MATCH($B$47,'San Collection - Oversize'!$A$12:$A$33,0),MATCH(H3,'San Collection - Oversize'!$L$10:$AM$10,0))</f>
        <v/>
      </c>
      <c r="I47" s="145" t="str">
        <f>INDEX('San Collection - Oversize'!$L$12:$AM$33, MATCH($B$47,'San Collection - Oversize'!$A$12:$A$33,0),MATCH(I3,'San Collection - Oversize'!$L$10:$AM$10,0))</f>
        <v/>
      </c>
      <c r="J47" s="145" t="str">
        <f>INDEX('San Collection - Oversize'!$L$12:$AM$33, MATCH($B$47,'San Collection - Oversize'!$A$12:$A$33,0),MATCH(J3,'San Collection - Oversize'!$L$10:$AM$10,0))</f>
        <v/>
      </c>
      <c r="K47" s="145" t="str">
        <f>INDEX('San Collection - Oversize'!$L$12:$AM$33, MATCH($B$47,'San Collection - Oversize'!$A$12:$A$33,0),MATCH(K3,'San Collection - Oversize'!$L$10:$AM$10,0))</f>
        <v/>
      </c>
      <c r="L47" s="145" t="str">
        <f>INDEX('San Collection - Oversize'!$L$12:$AM$33, MATCH($B$47,'San Collection - Oversize'!$A$12:$A$33,0),MATCH(L3,'San Collection - Oversize'!$L$10:$AM$10,0))</f>
        <v/>
      </c>
      <c r="M47" s="145" t="str">
        <f>INDEX('San Collection - Oversize'!$L$12:$AM$33, MATCH($B$47,'San Collection - Oversize'!$A$12:$A$33,0),MATCH(M3,'San Collection - Oversize'!$L$10:$AM$10,0))</f>
        <v/>
      </c>
      <c r="N47" s="145" t="str">
        <f>INDEX('San Collection - Oversize'!$L$12:$AM$33, MATCH($B$47,'San Collection - Oversize'!$A$12:$A$33,0),MATCH(N3,'San Collection - Oversize'!$L$10:$AM$10,0))</f>
        <v/>
      </c>
      <c r="O47" s="145" t="str">
        <f>INDEX('San Collection - Oversize'!$L$12:$AM$33, MATCH($B$47,'San Collection - Oversize'!$A$12:$A$33,0),MATCH(O3,'San Collection - Oversize'!$L$10:$AM$10,0))</f>
        <v/>
      </c>
      <c r="P47" s="145" t="str">
        <f>INDEX('San Collection - Oversize'!$L$12:$AM$33, MATCH($B$47,'San Collection - Oversize'!$A$12:$A$33,0),MATCH(P3,'San Collection - Oversize'!$L$10:$AM$10,0))</f>
        <v/>
      </c>
      <c r="Q47" s="145" t="str">
        <f>INDEX('San Collection - Oversize'!$L$12:$AM$33, MATCH($B$47,'San Collection - Oversize'!$A$12:$A$33,0),MATCH(Q3,'San Collection - Oversize'!$L$10:$AM$10,0))</f>
        <v/>
      </c>
      <c r="R47" s="145" t="str">
        <f>INDEX('San Collection - Oversize'!$L$12:$AM$33, MATCH($B$47,'San Collection - Oversize'!$A$12:$A$33,0),MATCH(R3,'San Collection - Oversize'!$L$10:$AM$10,0))</f>
        <v/>
      </c>
      <c r="S47" s="145" t="str">
        <f>INDEX('San Collection - Oversize'!$L$12:$AM$33, MATCH($B$47,'San Collection - Oversize'!$A$12:$A$33,0),MATCH(S3,'San Collection - Oversize'!$L$10:$AM$10,0))</f>
        <v/>
      </c>
      <c r="T47" s="145" t="str">
        <f>INDEX('San Collection - Oversize'!$L$12:$AM$33, MATCH($B$47,'San Collection - Oversize'!$A$12:$A$33,0),MATCH(T3,'San Collection - Oversize'!$L$10:$AM$10,0))</f>
        <v/>
      </c>
      <c r="U47" s="145" t="str">
        <f>INDEX('San Collection - Oversize'!$L$12:$AM$33, MATCH($B$47,'San Collection - Oversize'!$A$12:$A$33,0),MATCH(U3,'San Collection - Oversize'!$L$10:$AM$10,0))</f>
        <v/>
      </c>
      <c r="V47" s="145" t="str">
        <f>INDEX('San Collection - Oversize'!$L$12:$AM$33, MATCH($B$47,'San Collection - Oversize'!$A$12:$A$33,0),MATCH(V3,'San Collection - Oversize'!$L$10:$AM$10,0))</f>
        <v/>
      </c>
      <c r="W47" s="145" t="str">
        <f>INDEX('San Collection - Oversize'!$L$12:$AM$33, MATCH($B$47,'San Collection - Oversize'!$A$12:$A$33,0),MATCH(W3,'San Collection - Oversize'!$L$10:$AM$10,0))</f>
        <v/>
      </c>
      <c r="X47" s="145" t="str">
        <f>INDEX('San Collection - Oversize'!$L$12:$AM$33, MATCH($B$47,'San Collection - Oversize'!$A$12:$A$33,0),MATCH(X3,'San Collection - Oversize'!$L$10:$AM$10,0))</f>
        <v/>
      </c>
      <c r="Y47" s="145" t="str">
        <f>INDEX('San Collection - Oversize'!$L$12:$AM$33, MATCH($B$47,'San Collection - Oversize'!$A$12:$A$33,0),MATCH(Y3,'San Collection - Oversize'!$L$10:$AM$10,0))</f>
        <v/>
      </c>
      <c r="Z47" s="145" t="str">
        <f>INDEX('San Collection - Oversize'!$L$12:$AM$33, MATCH($B$47,'San Collection - Oversize'!$A$12:$A$33,0),MATCH(Z3,'San Collection - Oversize'!$L$10:$AM$10,0))</f>
        <v/>
      </c>
      <c r="AA47" s="145">
        <f>INDEX('San Collection - Oversize'!$L$12:$AM$33, MATCH($B$47,'San Collection - Oversize'!$A$12:$A$33,0),MATCH(AA3,'San Collection - Oversize'!$L$10:$AM$10,0))</f>
        <v>36019.23325159002</v>
      </c>
      <c r="AB47" s="145">
        <f>INDEX('San Collection - Oversize'!$L$12:$AM$33, MATCH($B$47,'San Collection - Oversize'!$A$12:$A$33,0),MATCH(AB3,'San Collection - Oversize'!$L$10:$AM$10,0))</f>
        <v>36919.714082879771</v>
      </c>
      <c r="AC47" s="145" t="str">
        <f>INDEX('San Collection - Oversize'!$L$12:$AM$33, MATCH($B$47,'San Collection - Oversize'!$A$12:$A$33,0),MATCH(AC3,'San Collection - Oversize'!$L$10:$AM$10,0))</f>
        <v/>
      </c>
      <c r="AD47" s="145" t="str">
        <f>INDEX('San Collection - Oversize'!$L$12:$AM$33, MATCH($B$47,'San Collection - Oversize'!$A$12:$A$33,0),MATCH(AD3,'San Collection - Oversize'!$L$10:$AM$10,0))</f>
        <v/>
      </c>
      <c r="AE47" s="145" t="str">
        <f>INDEX('San Collection - Oversize'!$L$12:$AM$33, MATCH($B$47,'San Collection - Oversize'!$A$12:$A$33,0),MATCH(AE3,'San Collection - Oversize'!$L$10:$AM$10,0))</f>
        <v/>
      </c>
      <c r="AF47" s="690">
        <f>SUM(C47:AC47)</f>
        <v>72938.947334469791</v>
      </c>
    </row>
    <row r="48" spans="1:32">
      <c r="A48" s="631"/>
      <c r="B48" s="141"/>
      <c r="C48" s="125"/>
      <c r="D48" s="125"/>
      <c r="E48" s="125"/>
      <c r="F48" s="125"/>
      <c r="G48" s="125"/>
      <c r="H48" s="125"/>
      <c r="I48" s="125"/>
      <c r="J48" s="125"/>
      <c r="K48" s="125"/>
      <c r="L48" s="125"/>
      <c r="M48" s="125"/>
      <c r="N48" s="125"/>
      <c r="O48" s="125"/>
      <c r="P48" s="125"/>
      <c r="Q48" s="125"/>
      <c r="R48" s="125"/>
      <c r="S48" s="125"/>
      <c r="T48" s="125"/>
      <c r="U48" s="125"/>
      <c r="V48" s="125"/>
      <c r="W48" s="125"/>
      <c r="X48" s="125"/>
      <c r="Y48" s="125"/>
      <c r="Z48" s="125"/>
      <c r="AA48" s="125" cm="1">
        <f t="array" ref="AA48">_xlfn.LET(_xlpm.x, AA5-SUM($D$7:AA7)-SUM($D$9:AA9)-SUM($D$11:AA11)-SUM($D$13:AA13)-SUM($D$15:AA15)-SUM($D$17:AA17)-SUM($D$19:AA19)-SUM($D$21:AA21)-SUM($D$23:AA23)-SUM($D$25:AA25)-SUM($D$27:AA27)-SUM($D$29:AA29)-SUM($D$31:AA31)-SUM($D$33:AA33)-SUM($D$35:AA35)-SUM($D$37:AA37)-SUM($D$39:AA39)-SUM($D$41:AA41)-SUM($D$43:AA43)-SUM($D$45:AA45),IF(OR(_xlpm.x&lt;0, INDEX(Z:Z,ROW()-1)&lt;0), _xlpm.x, 0))</f>
        <v>-1118479.8775205524</v>
      </c>
      <c r="AB48" s="125" cm="1">
        <f t="array" ref="AB48">_xlfn.LET(_xlpm.x, AB5-SUM($D$7:AB7)-SUM($D$9:AB9)-SUM($D$11:AB11)-SUM($D$13:AB13)-SUM($D$15:AB15)-SUM($D$17:AB17)-SUM($D$19:AB19)-SUM($D$21:AB21)-SUM($D$23:AB23)-SUM($D$25:AB25)-SUM($D$27:AB27)-SUM($D$29:AB29)-SUM($D$31:AB31)-SUM($D$33:AB33)-SUM($D$35:AB35)-SUM($D$37:AB37)-SUM($D$39:AB39)-SUM($D$41:AB41)-SUM($D$43:AB43)-SUM($D$45:AB45),IF(OR(_xlpm.x&lt;0, INDEX(AA:AA,ROW()-1)&lt;0), _xlpm.x, 0))</f>
        <v>-661551.86145489174</v>
      </c>
      <c r="AC48" s="125" cm="1">
        <f t="array" ref="AC48">_xlfn.LET(_xlpm.x, AC5-SUM($D$7:AC7)-SUM($D$9:AC9)-SUM($D$11:AC11)-SUM($D$13:AC13)-SUM($D$15:AC15)-SUM($D$17:AC17)-SUM($D$19:AC19)-SUM($D$21:AC21)-SUM($D$23:AC23)-SUM($D$25:AC25)-SUM($D$27:AC27)-SUM($D$29:AC29)-SUM($D$31:AC31)-SUM($D$33:AC33)-SUM($D$35:AC35)-SUM($D$37:AC37)-SUM($D$39:AC39)-SUM($D$41:AC41)-SUM($D$43:AC43)-SUM($D$45:AC45),IF(OR(_xlpm.x&lt;0, INDEX(AB:AB,ROW()-1)&lt;0), _xlpm.x, 0))</f>
        <v>-237727.07954817615</v>
      </c>
      <c r="AD48" s="345" cm="1">
        <f t="array" ref="AD48">_xlfn.LET(_xlpm.x, AD5-SUM($D$7:AD7)-SUM($D$9:AD9)-SUM($D$11:AD11)-SUM($D$13:AD13)-SUM($D$15:AD15)-SUM($D$17:AD17)-SUM($D$19:AD19)-SUM($D$21:AD21)-SUM($D$23:AD23)-SUM($D$25:AD25)-SUM($D$27:AD27)-SUM($D$29:AD29)-SUM($D$31:AD31)-SUM($D$33:AD33)-SUM($D$35:AD35)-SUM($D$37:AD37)-SUM($D$39:AD39)-SUM($D$41:AD41)-SUM($D$43:AD43)-SUM($D$45:AD45),IF(OR(_xlpm.x&lt;0, INDEX(AC:AC,ROW()-1)&lt;0), _xlpm.x, 0))</f>
        <v>0</v>
      </c>
      <c r="AE48" s="125" cm="1">
        <f t="array" ref="AE48">_xlfn.LET(_xlpm.x, AE5-SUM($D$7:AE7)-SUM($D$9:AE9)-SUM($D$11:AE11)-SUM($D$13:AE13)-SUM($D$15:AE15)-SUM($D$17:AE17)-SUM($D$19:AE19)-SUM($D$21:AE21)-SUM($D$23:AE23)-SUM($D$25:AE25)-SUM($D$27:AE27)-SUM($D$29:AE29)-SUM($D$31:AE31)-SUM($D$33:AE33)-SUM($D$35:AE35)-SUM($D$37:AE37)-SUM($D$39:AE39)-SUM($D$41:AE41)-SUM($D$43:AE43)-SUM($D$45:AE45),IF(OR(_xlpm.x&lt;0, INDEX(AD:AD,ROW()-1)&lt;0), _xlpm.x, 0))</f>
        <v>0</v>
      </c>
    </row>
    <row r="49" spans="1:32">
      <c r="A49" s="144" t="s">
        <v>279</v>
      </c>
      <c r="B49" s="144" t="s">
        <v>320</v>
      </c>
      <c r="C49" s="145" t="s">
        <v>118</v>
      </c>
      <c r="D49" s="145" t="str">
        <f>INDEX('San Collection - Oversize'!$L$12:$AM$33, MATCH($B$49,'San Collection - Oversize'!$A$12:$A$33,0),MATCH(D3,'San Collection - Oversize'!$L$10:$AM$10,0))</f>
        <v/>
      </c>
      <c r="E49" s="145" t="str">
        <f>INDEX('San Collection - Oversize'!$L$12:$AM$33, MATCH($B$49,'San Collection - Oversize'!$A$12:$A$33,0),MATCH(E3,'San Collection - Oversize'!$L$10:$AM$10,0))</f>
        <v/>
      </c>
      <c r="F49" s="145" t="str">
        <f>INDEX('San Collection - Oversize'!$L$12:$AM$33, MATCH($B$49,'San Collection - Oversize'!$A$12:$A$33,0),MATCH(F3,'San Collection - Oversize'!$L$10:$AM$10,0))</f>
        <v/>
      </c>
      <c r="G49" s="145" t="str">
        <f>INDEX('San Collection - Oversize'!$L$12:$AM$33, MATCH($B$49,'San Collection - Oversize'!$A$12:$A$33,0),MATCH(G3,'San Collection - Oversize'!$L$10:$AM$10,0))</f>
        <v/>
      </c>
      <c r="H49" s="145" t="str">
        <f>INDEX('San Collection - Oversize'!$L$12:$AM$33, MATCH($B$49,'San Collection - Oversize'!$A$12:$A$33,0),MATCH(H3,'San Collection - Oversize'!$L$10:$AM$10,0))</f>
        <v/>
      </c>
      <c r="I49" s="145" t="str">
        <f>INDEX('San Collection - Oversize'!$L$12:$AM$33, MATCH($B$49,'San Collection - Oversize'!$A$12:$A$33,0),MATCH(I3,'San Collection - Oversize'!$L$10:$AM$10,0))</f>
        <v/>
      </c>
      <c r="J49" s="145" t="str">
        <f>INDEX('San Collection - Oversize'!$L$12:$AM$33, MATCH($B$49,'San Collection - Oversize'!$A$12:$A$33,0),MATCH(J3,'San Collection - Oversize'!$L$10:$AM$10,0))</f>
        <v/>
      </c>
      <c r="K49" s="145" t="str">
        <f>INDEX('San Collection - Oversize'!$L$12:$AM$33, MATCH($B$49,'San Collection - Oversize'!$A$12:$A$33,0),MATCH(K3,'San Collection - Oversize'!$L$10:$AM$10,0))</f>
        <v/>
      </c>
      <c r="L49" s="145" t="str">
        <f>INDEX('San Collection - Oversize'!$L$12:$AM$33, MATCH($B$49,'San Collection - Oversize'!$A$12:$A$33,0),MATCH(L3,'San Collection - Oversize'!$L$10:$AM$10,0))</f>
        <v/>
      </c>
      <c r="M49" s="145" t="str">
        <f>INDEX('San Collection - Oversize'!$L$12:$AM$33, MATCH($B$49,'San Collection - Oversize'!$A$12:$A$33,0),MATCH(M3,'San Collection - Oversize'!$L$10:$AM$10,0))</f>
        <v/>
      </c>
      <c r="N49" s="145" t="str">
        <f>INDEX('San Collection - Oversize'!$L$12:$AM$33, MATCH($B$49,'San Collection - Oversize'!$A$12:$A$33,0),MATCH(N3,'San Collection - Oversize'!$L$10:$AM$10,0))</f>
        <v/>
      </c>
      <c r="O49" s="145" t="str">
        <f>INDEX('San Collection - Oversize'!$L$12:$AM$33, MATCH($B$49,'San Collection - Oversize'!$A$12:$A$33,0),MATCH(O3,'San Collection - Oversize'!$L$10:$AM$10,0))</f>
        <v/>
      </c>
      <c r="P49" s="145" t="str">
        <f>INDEX('San Collection - Oversize'!$L$12:$AM$33, MATCH($B$49,'San Collection - Oversize'!$A$12:$A$33,0),MATCH(P3,'San Collection - Oversize'!$L$10:$AM$10,0))</f>
        <v/>
      </c>
      <c r="Q49" s="145" t="str">
        <f>INDEX('San Collection - Oversize'!$L$12:$AM$33, MATCH($B$49,'San Collection - Oversize'!$A$12:$A$33,0),MATCH(Q3,'San Collection - Oversize'!$L$10:$AM$10,0))</f>
        <v/>
      </c>
      <c r="R49" s="145" t="str">
        <f>INDEX('San Collection - Oversize'!$L$12:$AM$33, MATCH($B$49,'San Collection - Oversize'!$A$12:$A$33,0),MATCH(R3,'San Collection - Oversize'!$L$10:$AM$10,0))</f>
        <v/>
      </c>
      <c r="S49" s="145" t="str">
        <f>INDEX('San Collection - Oversize'!$L$12:$AM$33, MATCH($B$49,'San Collection - Oversize'!$A$12:$A$33,0),MATCH(S3,'San Collection - Oversize'!$L$10:$AM$10,0))</f>
        <v/>
      </c>
      <c r="T49" s="145" t="str">
        <f>INDEX('San Collection - Oversize'!$L$12:$AM$33, MATCH($B$49,'San Collection - Oversize'!$A$12:$A$33,0),MATCH(T3,'San Collection - Oversize'!$L$10:$AM$10,0))</f>
        <v/>
      </c>
      <c r="U49" s="145" t="str">
        <f>INDEX('San Collection - Oversize'!$L$12:$AM$33, MATCH($B$49,'San Collection - Oversize'!$A$12:$A$33,0),MATCH(U3,'San Collection - Oversize'!$L$10:$AM$10,0))</f>
        <v/>
      </c>
      <c r="V49" s="145" t="str">
        <f>INDEX('San Collection - Oversize'!$L$12:$AM$33, MATCH($B$49,'San Collection - Oversize'!$A$12:$A$33,0),MATCH(V3,'San Collection - Oversize'!$L$10:$AM$10,0))</f>
        <v/>
      </c>
      <c r="W49" s="145" t="str">
        <f>INDEX('San Collection - Oversize'!$L$12:$AM$33, MATCH($B$49,'San Collection - Oversize'!$A$12:$A$33,0),MATCH(W3,'San Collection - Oversize'!$L$10:$AM$10,0))</f>
        <v/>
      </c>
      <c r="X49" s="145" t="str">
        <f>INDEX('San Collection - Oversize'!$L$12:$AM$33, MATCH($B$49,'San Collection - Oversize'!$A$12:$A$33,0),MATCH(X3,'San Collection - Oversize'!$L$10:$AM$10,0))</f>
        <v/>
      </c>
      <c r="Y49" s="145" t="str">
        <f>INDEX('San Collection - Oversize'!$L$12:$AM$33, MATCH($B$49,'San Collection - Oversize'!$A$12:$A$33,0),MATCH(Y3,'San Collection - Oversize'!$L$10:$AM$10,0))</f>
        <v/>
      </c>
      <c r="Z49" s="145" t="str">
        <f>INDEX('San Collection - Oversize'!$L$12:$AM$33, MATCH($B$49,'San Collection - Oversize'!$A$12:$A$33,0),MATCH(Z3,'San Collection - Oversize'!$L$10:$AM$10,0))</f>
        <v/>
      </c>
      <c r="AA49" s="145">
        <f>INDEX('San Collection - Oversize'!$L$12:$AM$33, MATCH($B$49,'San Collection - Oversize'!$A$12:$A$33,0),MATCH(AA3,'San Collection - Oversize'!$L$10:$AM$10,0))</f>
        <v>17199.660322518514</v>
      </c>
      <c r="AB49" s="145">
        <f>INDEX('San Collection - Oversize'!$L$12:$AM$33, MATCH($B$49,'San Collection - Oversize'!$A$12:$A$33,0),MATCH(AB3,'San Collection - Oversize'!$L$10:$AM$10,0))</f>
        <v>17629.651830581475</v>
      </c>
      <c r="AC49" s="145" t="str">
        <f>INDEX('San Collection - Oversize'!$L$12:$AM$33, MATCH($B$49,'San Collection - Oversize'!$A$12:$A$33,0),MATCH(AC3,'San Collection - Oversize'!$L$10:$AM$10,0))</f>
        <v/>
      </c>
      <c r="AD49" s="145" t="str">
        <f>INDEX('San Collection - Oversize'!$L$12:$AM$33, MATCH($B$49,'San Collection - Oversize'!$A$12:$A$33,0),MATCH(AD3,'San Collection - Oversize'!$L$10:$AM$10,0))</f>
        <v/>
      </c>
      <c r="AE49" s="145" t="str">
        <f>INDEX('San Collection - Oversize'!$L$12:$AM$33, MATCH($B$49,'San Collection - Oversize'!$A$12:$A$33,0),MATCH(AE3,'San Collection - Oversize'!$L$10:$AM$10,0))</f>
        <v/>
      </c>
      <c r="AF49" s="690">
        <f>SUM(C49:AC49)</f>
        <v>34829.312153099992</v>
      </c>
    </row>
    <row r="50" spans="1:32">
      <c r="A50" s="631"/>
      <c r="B50" s="141"/>
      <c r="C50" s="125"/>
      <c r="D50" s="125"/>
      <c r="E50" s="125"/>
      <c r="F50" s="125"/>
      <c r="G50" s="125"/>
      <c r="H50" s="125"/>
      <c r="I50" s="125"/>
      <c r="J50" s="125"/>
      <c r="K50" s="125"/>
      <c r="L50" s="125"/>
      <c r="M50" s="125"/>
      <c r="N50" s="125"/>
      <c r="O50" s="125"/>
      <c r="P50" s="125"/>
      <c r="Q50" s="125"/>
      <c r="R50" s="125"/>
      <c r="S50" s="125"/>
      <c r="T50" s="125"/>
      <c r="U50" s="125"/>
      <c r="V50" s="125"/>
      <c r="W50" s="125"/>
      <c r="X50" s="125"/>
      <c r="Y50" s="125"/>
      <c r="Z50" s="125"/>
      <c r="AA50" s="125" cm="1">
        <f t="array" ref="AA50">_xlfn.LET(_xlpm.x, AA5-SUM($D$7:AA7)-SUM($D$9:AA9)-SUM($D$11:AA11)-SUM($D$13:AA13)-SUM($D$15:AA15)-SUM($D$17:AA17)-SUM($D$19:AA19)-SUM($D$21:AA21)-SUM($D$23:AA23)-SUM($D$25:AA25)-SUM($D$27:AA27)-SUM($D$29:AA29)-SUM($D$31:AA31)-SUM($D$33:AA33)-SUM($D$35:AA35)-SUM($D$37:AA37)-SUM($D$39:AA39)-SUM($D$41:AA41)-SUM($D$43:AA43)-SUM($D$45:AA45)-SUM($D$47:AA47),IF(OR(_xlpm.x&lt;0, INDEX(Z:Z,ROW()-1)&lt;0), _xlpm.x, 0))</f>
        <v>-1154499.1107721424</v>
      </c>
      <c r="AB50" s="125" cm="1">
        <f t="array" ref="AB50">_xlfn.LET(_xlpm.x, AB5-SUM($D$7:AB7)-SUM($D$9:AB9)-SUM($D$11:AB11)-SUM($D$13:AB13)-SUM($D$15:AB15)-SUM($D$17:AB17)-SUM($D$19:AB19)-SUM($D$21:AB21)-SUM($D$23:AB23)-SUM($D$25:AB25)-SUM($D$27:AB27)-SUM($D$29:AB29)-SUM($D$31:AB31)-SUM($D$33:AB33)-SUM($D$35:AB35)-SUM($D$37:AB37)-SUM($D$39:AB39)-SUM($D$41:AB41)-SUM($D$43:AB43)-SUM($D$45:AB45)-SUM($D$47:AB47),IF(OR(_xlpm.x&lt;0, INDEX(AA:AA,ROW()-1)&lt;0), _xlpm.x, 0))</f>
        <v>-734490.8087893615</v>
      </c>
      <c r="AC50" s="125" cm="1">
        <f t="array" ref="AC50">_xlfn.LET(_xlpm.x, AC5-SUM($D$7:AC7)-SUM($D$9:AC9)-SUM($D$11:AC11)-SUM($D$13:AC13)-SUM($D$15:AC15)-SUM($D$17:AC17)-SUM($D$19:AC19)-SUM($D$21:AC21)-SUM($D$23:AC23)-SUM($D$25:AC25)-SUM($D$27:AC27)-SUM($D$29:AC29)-SUM($D$31:AC31)-SUM($D$33:AC33)-SUM($D$35:AC35)-SUM($D$37:AC37)-SUM($D$39:AC39)-SUM($D$41:AC41)-SUM($D$43:AC43)-SUM($D$45:AC45)-SUM($D$47:AC47),IF(OR(_xlpm.x&lt;0, INDEX(AB:AB,ROW()-1)&lt;0), _xlpm.x, 0))</f>
        <v>-310666.02688264591</v>
      </c>
      <c r="AD50" s="125" cm="1">
        <f t="array" ref="AD50">_xlfn.LET(_xlpm.x, AD5-SUM($D$7:AD7)-SUM($D$9:AD9)-SUM($D$11:AD11)-SUM($D$13:AD13)-SUM($D$15:AD15)-SUM($D$17:AD17)-SUM($D$19:AD19)-SUM($D$21:AD21)-SUM($D$23:AD23)-SUM($D$25:AD25)-SUM($D$27:AD27)-SUM($D$29:AD29)-SUM($D$31:AD31)-SUM($D$33:AD33)-SUM($D$35:AD35)-SUM($D$37:AD37)-SUM($D$39:AD39)-SUM($D$41:AD41)-SUM($D$43:AD43)-SUM($D$45:AD45)-SUM($D$47:AD47),IF(OR(_xlpm.x&lt;0, INDEX(AC:AC,ROW()-1)&lt;0), _xlpm.x, 0))</f>
        <v>-41554.978692834535</v>
      </c>
      <c r="AE50" s="345" cm="1">
        <f t="array" ref="AE50">_xlfn.LET(_xlpm.x, AE5-SUM($D$7:AE7)-SUM($D$9:AE9)-SUM($D$11:AE11)-SUM($D$13:AE13)-SUM($D$15:AE15)-SUM($D$17:AE17)-SUM($D$19:AE19)-SUM($D$21:AE21)-SUM($D$23:AE23)-SUM($D$25:AE25)-SUM($D$27:AE27)-SUM($D$29:AE29)-SUM($D$31:AE31)-SUM($D$33:AE33)-SUM($D$35:AE35)-SUM($D$37:AE37)-SUM($D$39:AE39)-SUM($D$41:AE41)-SUM($D$43:AE43)-SUM($D$45:AE45)-SUM($D$47:AE47),IF(OR(_xlpm.x&lt;0, INDEX(AD:AD,ROW()-1)&lt;0), _xlpm.x, 0))</f>
        <v>0</v>
      </c>
    </row>
    <row r="51" spans="1:32">
      <c r="A51" s="592" t="s">
        <v>284</v>
      </c>
      <c r="B51" s="141"/>
      <c r="C51" s="126">
        <f t="shared" ref="C51" si="1">SUM(C7,C9,C11,C13,C15,C17,C19,C21,C23,C25,C27,C29,C31)</f>
        <v>0</v>
      </c>
      <c r="D51" s="126">
        <f>SUM(D7,D9,D11,D13,D15,D17,D19,D21,D23,D25,D27,D29,D31,D33,D35,D37,D39,D41,D43,D45,D47,D49)</f>
        <v>284870</v>
      </c>
      <c r="E51" s="126">
        <f t="shared" ref="E51:AE51" si="2">SUM(E7,E9,E11,E13,E15,E17,E19,E21,E23,E25,E27,E29,E31,E33,E35,E37,E39,E41,E43,E45,E47,E49)</f>
        <v>391712.97499999998</v>
      </c>
      <c r="F51" s="126">
        <f t="shared" si="2"/>
        <v>173196.05656249999</v>
      </c>
      <c r="G51" s="126">
        <f t="shared" si="2"/>
        <v>331087.33042968746</v>
      </c>
      <c r="H51" s="126">
        <f t="shared" si="2"/>
        <v>393670.45218984369</v>
      </c>
      <c r="I51" s="126">
        <f t="shared" si="2"/>
        <v>1195590.3844264173</v>
      </c>
      <c r="J51" s="126">
        <f t="shared" si="2"/>
        <v>1090074.3405265405</v>
      </c>
      <c r="K51" s="126">
        <f t="shared" si="2"/>
        <v>113007.16591548327</v>
      </c>
      <c r="L51" s="126">
        <f t="shared" si="2"/>
        <v>3169604.8512549</v>
      </c>
      <c r="M51" s="126">
        <f t="shared" si="2"/>
        <v>3130116.8188463175</v>
      </c>
      <c r="N51" s="126">
        <f t="shared" si="2"/>
        <v>0</v>
      </c>
      <c r="O51" s="126">
        <f t="shared" si="2"/>
        <v>0</v>
      </c>
      <c r="P51" s="126">
        <f t="shared" si="2"/>
        <v>0</v>
      </c>
      <c r="Q51" s="126">
        <f t="shared" si="2"/>
        <v>0</v>
      </c>
      <c r="R51" s="126">
        <f t="shared" si="2"/>
        <v>24331.409197168246</v>
      </c>
      <c r="S51" s="126">
        <f t="shared" si="2"/>
        <v>24939.694427097449</v>
      </c>
      <c r="T51" s="126">
        <f t="shared" si="2"/>
        <v>0</v>
      </c>
      <c r="U51" s="126">
        <f t="shared" si="2"/>
        <v>0</v>
      </c>
      <c r="V51" s="126">
        <f t="shared" si="2"/>
        <v>34109.736156241219</v>
      </c>
      <c r="W51" s="126">
        <f t="shared" si="2"/>
        <v>34962.479560147243</v>
      </c>
      <c r="X51" s="126">
        <f t="shared" si="2"/>
        <v>0</v>
      </c>
      <c r="Y51" s="126">
        <f t="shared" si="2"/>
        <v>0</v>
      </c>
      <c r="Z51" s="126">
        <f t="shared" si="2"/>
        <v>0</v>
      </c>
      <c r="AA51" s="126">
        <f t="shared" si="2"/>
        <v>113012.72655128509</v>
      </c>
      <c r="AB51" s="126">
        <f t="shared" si="2"/>
        <v>115838.04471506723</v>
      </c>
      <c r="AC51" s="126">
        <f t="shared" si="2"/>
        <v>0</v>
      </c>
      <c r="AD51" s="126">
        <f t="shared" si="2"/>
        <v>0</v>
      </c>
      <c r="AE51" s="126">
        <f t="shared" si="2"/>
        <v>0</v>
      </c>
      <c r="AF51" s="127">
        <f>SUM(C51:AD51)</f>
        <v>10620124.465758696</v>
      </c>
    </row>
    <row r="52" spans="1:32">
      <c r="A52" s="592" t="s">
        <v>301</v>
      </c>
      <c r="C52" s="126">
        <f>B52+C51</f>
        <v>0</v>
      </c>
      <c r="D52" s="126">
        <f>C52+D51</f>
        <v>284870</v>
      </c>
      <c r="E52" s="126">
        <f>D52+E51</f>
        <v>676582.97499999998</v>
      </c>
      <c r="F52" s="126">
        <f t="shared" ref="F52:AD52" si="3">E52+F51</f>
        <v>849779.03156249993</v>
      </c>
      <c r="G52" s="126">
        <f t="shared" si="3"/>
        <v>1180866.3619921873</v>
      </c>
      <c r="H52" s="126">
        <f t="shared" si="3"/>
        <v>1574536.814182031</v>
      </c>
      <c r="I52" s="126">
        <f t="shared" si="3"/>
        <v>2770127.1986084483</v>
      </c>
      <c r="J52" s="126">
        <f t="shared" si="3"/>
        <v>3860201.5391349886</v>
      </c>
      <c r="K52" s="126">
        <f t="shared" si="3"/>
        <v>3973208.7050504717</v>
      </c>
      <c r="L52" s="126">
        <f t="shared" si="3"/>
        <v>7142813.5563053712</v>
      </c>
      <c r="M52" s="126">
        <f t="shared" si="3"/>
        <v>10272930.375151688</v>
      </c>
      <c r="N52" s="126">
        <f t="shared" si="3"/>
        <v>10272930.375151688</v>
      </c>
      <c r="O52" s="126">
        <f t="shared" si="3"/>
        <v>10272930.375151688</v>
      </c>
      <c r="P52" s="126">
        <f t="shared" si="3"/>
        <v>10272930.375151688</v>
      </c>
      <c r="Q52" s="126">
        <f t="shared" si="3"/>
        <v>10272930.375151688</v>
      </c>
      <c r="R52" s="126">
        <f t="shared" si="3"/>
        <v>10297261.784348857</v>
      </c>
      <c r="S52" s="126">
        <f t="shared" si="3"/>
        <v>10322201.478775954</v>
      </c>
      <c r="T52" s="126">
        <f t="shared" si="3"/>
        <v>10322201.478775954</v>
      </c>
      <c r="U52" s="126">
        <f t="shared" si="3"/>
        <v>10322201.478775954</v>
      </c>
      <c r="V52" s="126">
        <f t="shared" si="3"/>
        <v>10356311.214932196</v>
      </c>
      <c r="W52" s="126">
        <f t="shared" si="3"/>
        <v>10391273.694492344</v>
      </c>
      <c r="X52" s="126">
        <f t="shared" si="3"/>
        <v>10391273.694492344</v>
      </c>
      <c r="Y52" s="126">
        <f t="shared" si="3"/>
        <v>10391273.694492344</v>
      </c>
      <c r="Z52" s="126">
        <f t="shared" si="3"/>
        <v>10391273.694492344</v>
      </c>
      <c r="AA52" s="126">
        <f t="shared" si="3"/>
        <v>10504286.421043629</v>
      </c>
      <c r="AB52" s="126">
        <f t="shared" si="3"/>
        <v>10620124.465758696</v>
      </c>
      <c r="AC52" s="126">
        <f t="shared" si="3"/>
        <v>10620124.465758696</v>
      </c>
      <c r="AD52" s="126">
        <f t="shared" si="3"/>
        <v>10620124.465758696</v>
      </c>
      <c r="AE52" s="126">
        <f>AD52+AE51</f>
        <v>10620124.465758696</v>
      </c>
    </row>
    <row r="54" spans="1:32">
      <c r="A54" s="819" t="s">
        <v>303</v>
      </c>
      <c r="B54" s="820"/>
      <c r="C54" s="821"/>
      <c r="D54" s="126">
        <f>D5-D52</f>
        <v>-221017.8336594319</v>
      </c>
      <c r="E54" s="126">
        <f t="shared" ref="E54:AE54" si="4">E5-E52</f>
        <v>-448132.11643156654</v>
      </c>
      <c r="F54" s="126">
        <f t="shared" si="4"/>
        <v>-332683.96891430189</v>
      </c>
      <c r="G54" s="126">
        <f t="shared" si="4"/>
        <v>-321864.45622273884</v>
      </c>
      <c r="H54" s="126">
        <f t="shared" si="4"/>
        <v>-366789.92842890718</v>
      </c>
      <c r="I54" s="126">
        <f t="shared" si="4"/>
        <v>-1206660.4332719757</v>
      </c>
      <c r="J54" s="126">
        <f t="shared" si="4"/>
        <v>-1933900.4966235003</v>
      </c>
      <c r="K54" s="126">
        <f t="shared" si="4"/>
        <v>-1676816.6998204673</v>
      </c>
      <c r="L54" s="126">
        <f t="shared" si="4"/>
        <v>-4468928.7691024803</v>
      </c>
      <c r="M54" s="126">
        <f t="shared" si="4"/>
        <v>-7214002.9503364526</v>
      </c>
      <c r="N54" s="126">
        <f t="shared" si="4"/>
        <v>-6821259.4599718619</v>
      </c>
      <c r="O54" s="126">
        <f t="shared" si="4"/>
        <v>-6420661.0997999795</v>
      </c>
      <c r="P54" s="126">
        <f t="shared" si="4"/>
        <v>-6012050.7724246588</v>
      </c>
      <c r="Q54" s="126">
        <f t="shared" si="4"/>
        <v>-5595268.2385018319</v>
      </c>
      <c r="R54" s="126">
        <f t="shared" si="4"/>
        <v>-5194481.4630977167</v>
      </c>
      <c r="S54" s="126">
        <f t="shared" si="4"/>
        <v>-4785800.6092315046</v>
      </c>
      <c r="T54" s="126">
        <f t="shared" si="4"/>
        <v>-4343507.6499723289</v>
      </c>
      <c r="U54" s="126">
        <f t="shared" si="4"/>
        <v>-3892368.8315279698</v>
      </c>
      <c r="V54" s="126">
        <f t="shared" si="4"/>
        <v>-3466316.9728709655</v>
      </c>
      <c r="W54" s="126">
        <f t="shared" si="4"/>
        <v>-3031914.6257216027</v>
      </c>
      <c r="X54" s="126">
        <f t="shared" si="4"/>
        <v>-2553162.5024779011</v>
      </c>
      <c r="Y54" s="126">
        <f t="shared" si="4"/>
        <v>-2064835.3367693257</v>
      </c>
      <c r="Z54" s="126">
        <f t="shared" si="4"/>
        <v>-1566741.6277465783</v>
      </c>
      <c r="AA54" s="126">
        <f t="shared" si="4"/>
        <v>-1171698.7710946612</v>
      </c>
      <c r="AB54" s="126">
        <f t="shared" si="4"/>
        <v>-769320.12094246224</v>
      </c>
      <c r="AC54" s="126">
        <f t="shared" si="4"/>
        <v>-345495.33903574571</v>
      </c>
      <c r="AD54" s="126">
        <f t="shared" si="4"/>
        <v>-76384.290845932439</v>
      </c>
      <c r="AE54" s="126">
        <f t="shared" si="4"/>
        <v>0</v>
      </c>
    </row>
    <row r="56" spans="1:32">
      <c r="A56" s="48"/>
      <c r="B56" t="s">
        <v>281</v>
      </c>
      <c r="E56" s="127"/>
      <c r="F56" s="127"/>
      <c r="G56" s="127"/>
      <c r="H56" s="127"/>
      <c r="I56" s="127"/>
      <c r="J56" s="127"/>
      <c r="K56" s="127"/>
      <c r="L56" s="127"/>
      <c r="M56" s="127"/>
      <c r="N56" s="127"/>
      <c r="O56" s="127"/>
      <c r="P56" s="127"/>
      <c r="Q56" s="127"/>
      <c r="R56" s="127"/>
      <c r="S56" s="127"/>
      <c r="T56" s="127"/>
      <c r="U56" s="127"/>
      <c r="V56" s="127"/>
      <c r="W56" s="127"/>
      <c r="X56" s="127"/>
      <c r="Y56" s="127"/>
      <c r="Z56" s="127"/>
      <c r="AA56" s="127"/>
      <c r="AB56" s="127"/>
      <c r="AC56" s="127"/>
      <c r="AD56" s="127"/>
      <c r="AE56" s="127"/>
      <c r="AF56" s="127"/>
    </row>
    <row r="57" spans="1:32">
      <c r="A57" s="596"/>
      <c r="B57" t="s">
        <v>302</v>
      </c>
      <c r="F57" s="127"/>
      <c r="AF57" s="127"/>
    </row>
    <row r="58" spans="1:32">
      <c r="A58" s="630"/>
      <c r="B58" t="s">
        <v>300</v>
      </c>
      <c r="I58" s="127"/>
      <c r="J58" s="127"/>
      <c r="K58" s="127"/>
      <c r="L58" s="127"/>
      <c r="M58" s="127"/>
      <c r="N58" s="127"/>
      <c r="O58" s="127"/>
    </row>
    <row r="59" spans="1:32">
      <c r="D59" s="334"/>
      <c r="N59" s="127"/>
    </row>
  </sheetData>
  <mergeCells count="3">
    <mergeCell ref="A4:C4"/>
    <mergeCell ref="A5:C5"/>
    <mergeCell ref="A54:C54"/>
  </mergeCells>
  <pageMargins left="0.7" right="0.7" top="0.75" bottom="0.75" header="0.3" footer="0.3"/>
  <pageSetup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EEB813-6322-4976-A9A7-1A0974BEED0A}">
  <sheetPr codeName="Sheet55">
    <tabColor theme="4" tint="-0.249977111117893"/>
    <pageSetUpPr fitToPage="1"/>
  </sheetPr>
  <dimension ref="B2:I16"/>
  <sheetViews>
    <sheetView showGridLines="0" workbookViewId="0">
      <selection activeCell="D24" sqref="D24"/>
    </sheetView>
  </sheetViews>
  <sheetFormatPr defaultColWidth="9.109375" defaultRowHeight="14.25" customHeight="1"/>
  <cols>
    <col min="1" max="1" width="6.109375" style="56" customWidth="1"/>
    <col min="2" max="2" width="40.5546875" style="56" customWidth="1"/>
    <col min="3" max="3" width="19.88671875" style="56" customWidth="1"/>
    <col min="4" max="4" width="25.5546875" style="42" customWidth="1"/>
    <col min="5" max="5" width="16.109375" style="42" customWidth="1"/>
    <col min="6" max="6" width="13.6640625" style="56" customWidth="1"/>
    <col min="7" max="7" width="11" style="62" customWidth="1"/>
    <col min="8" max="8" width="2.44140625" style="62" hidden="1" customWidth="1"/>
    <col min="9" max="9" width="12.44140625" style="62" customWidth="1"/>
    <col min="10" max="10" width="12.21875" style="56" customWidth="1"/>
    <col min="11" max="11" width="13" style="56" customWidth="1"/>
    <col min="12" max="16384" width="9.109375" style="56"/>
  </cols>
  <sheetData>
    <row r="2" spans="2:6" ht="14.25" customHeight="1" thickBot="1"/>
    <row r="3" spans="2:6" ht="14.25" customHeight="1">
      <c r="B3" s="824" t="s">
        <v>326</v>
      </c>
      <c r="C3" s="826" t="s">
        <v>204</v>
      </c>
      <c r="D3" s="822" t="s">
        <v>327</v>
      </c>
    </row>
    <row r="4" spans="2:6" ht="14.25" customHeight="1" thickBot="1">
      <c r="B4" s="825"/>
      <c r="C4" s="827"/>
      <c r="D4" s="823"/>
    </row>
    <row r="5" spans="2:6" ht="14.25" customHeight="1">
      <c r="B5" s="233" t="s">
        <v>40</v>
      </c>
      <c r="C5" s="239"/>
      <c r="D5" s="234"/>
    </row>
    <row r="6" spans="2:6" ht="14.25" customHeight="1">
      <c r="B6" s="231" t="s">
        <v>117</v>
      </c>
      <c r="C6" s="237">
        <v>44082</v>
      </c>
      <c r="D6" s="235">
        <f>'San Treatment - OSL'!I40</f>
        <v>42020.473886577878</v>
      </c>
    </row>
    <row r="7" spans="2:6" ht="14.25" customHeight="1">
      <c r="B7" s="231" t="s">
        <v>47</v>
      </c>
      <c r="C7" s="237">
        <v>37126</v>
      </c>
      <c r="D7" s="235">
        <f>SUM(D8:D9)</f>
        <v>65038.403863588159</v>
      </c>
    </row>
    <row r="8" spans="2:6" ht="14.25" customHeight="1">
      <c r="B8" s="232" t="s">
        <v>203</v>
      </c>
      <c r="C8" s="238"/>
      <c r="D8" s="236">
        <f>'San Collection - OSL'!I38</f>
        <v>53518.564370810484</v>
      </c>
    </row>
    <row r="9" spans="2:6" ht="14.25" customHeight="1" thickBot="1">
      <c r="B9" s="659" t="s">
        <v>313</v>
      </c>
      <c r="C9" s="660"/>
      <c r="D9" s="661">
        <f>'San Collection - Oversize'!I48</f>
        <v>11519.839492777674</v>
      </c>
      <c r="F9" s="331"/>
    </row>
    <row r="15" spans="2:6" ht="14.25" customHeight="1">
      <c r="C15" s="241"/>
      <c r="D15" s="240"/>
    </row>
    <row r="16" spans="2:6" ht="14.25" customHeight="1">
      <c r="C16" s="241"/>
    </row>
  </sheetData>
  <mergeCells count="3">
    <mergeCell ref="D3:D4"/>
    <mergeCell ref="B3:B4"/>
    <mergeCell ref="C3:C4"/>
  </mergeCells>
  <pageMargins left="0.70866141732283472" right="0.70866141732283472" top="0.74803149606299213" bottom="0.74803149606299213" header="0.31496062992125984" footer="0.31496062992125984"/>
  <pageSetup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A36616D2-2866-4548-BCBC-14F71532C793}">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1</vt:i4>
      </vt:variant>
    </vt:vector>
  </HeadingPairs>
  <TitlesOfParts>
    <vt:vector size="15" baseType="lpstr">
      <vt:lpstr>Read Me</vt:lpstr>
      <vt:lpstr>Assumptions</vt:lpstr>
      <vt:lpstr>Oversize Costs</vt:lpstr>
      <vt:lpstr>2026 Collections Summary</vt:lpstr>
      <vt:lpstr>Project List </vt:lpstr>
      <vt:lpstr>Sanitary Debentures</vt:lpstr>
      <vt:lpstr>Cost Recovery Timing</vt:lpstr>
      <vt:lpstr>S-Treatment</vt:lpstr>
      <vt:lpstr>San Treatment - OSL</vt:lpstr>
      <vt:lpstr>S-Collection</vt:lpstr>
      <vt:lpstr>San Collection - OSL</vt:lpstr>
      <vt:lpstr>San Collection - Oversize</vt:lpstr>
      <vt:lpstr>San Collection Recovery</vt:lpstr>
      <vt:lpstr>Offsite Levy Rate Summary</vt:lpstr>
      <vt:lpstr>'Project List '!Print_Area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Clayton Drewlo</dc:creator>
  <cp:lastModifiedBy>Andrea Charlebois</cp:lastModifiedBy>
  <cp:lastPrinted>2026-03-19T21:26:27Z</cp:lastPrinted>
  <dcterms:created xsi:type="dcterms:W3CDTF">2015-01-12T14:41:46Z</dcterms:created>
  <dcterms:modified xsi:type="dcterms:W3CDTF">2026-09-10T22:01:15Z</dcterms:modified>
  <cp:contentStatus/>
</cp:coreProperties>
</file>