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tables/table1.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codeName="ThisWorkbook" hidePivotFieldList="1"/>
  <mc:AlternateContent xmlns:mc="http://schemas.openxmlformats.org/markup-compatibility/2006">
    <mc:Choice Requires="x15">
      <x15ac:absPath xmlns:x15ac="http://schemas.microsoft.com/office/spreadsheetml/2010/11/ac" url="C:\Users\acharlebois\Desktop\"/>
    </mc:Choice>
  </mc:AlternateContent>
  <xr:revisionPtr revIDLastSave="0" documentId="8_{F679682F-310B-4EDB-AEA8-9C15BC6FECED}" xr6:coauthVersionLast="47" xr6:coauthVersionMax="47" xr10:uidLastSave="{00000000-0000-0000-0000-000000000000}"/>
  <bookViews>
    <workbookView xWindow="-108" yWindow="-108" windowWidth="23256" windowHeight="13896" tabRatio="673" activeTab="5" xr2:uid="{D13728A8-B979-4F44-831E-DEB46506FB11}"/>
  </bookViews>
  <sheets>
    <sheet name="Read Me" sheetId="247" r:id="rId1"/>
    <sheet name="Assumptions" sheetId="130" r:id="rId2"/>
    <sheet name="2026 Collections Summary" sheetId="244" r:id="rId3"/>
    <sheet name="Cost Recovery Timing" sheetId="242" r:id="rId4"/>
    <sheet name="Project List " sheetId="237" r:id="rId5"/>
    <sheet name="R-Recreation" sheetId="213" r:id="rId6"/>
    <sheet name="Recreation - OSL" sheetId="231" r:id="rId7"/>
    <sheet name="Offsite Levy Rate Summary" sheetId="217" r:id="rId8"/>
  </sheets>
  <definedNames>
    <definedName name="a">#REF!</definedName>
    <definedName name="Beg_Bal">#REF!</definedName>
    <definedName name="Buddata">#REF!</definedName>
    <definedName name="Capdata1">#REF!</definedName>
    <definedName name="CFWD">#REF!</definedName>
    <definedName name="CondoALC">#REF!</definedName>
    <definedName name="Contingency">#REF!</definedName>
    <definedName name="Cum_Int">#REF!</definedName>
    <definedName name="Data">#REF!</definedName>
    <definedName name="del">#REF!</definedName>
    <definedName name="End_Bal">#REF!</definedName>
    <definedName name="Engineering">#REF!</definedName>
    <definedName name="Extra_Pay">#REF!</definedName>
    <definedName name="fgdsfdgf" localSheetId="3">#REF!</definedName>
    <definedName name="fgdsfdgf" localSheetId="7">#REF!</definedName>
    <definedName name="fgdsfdgf" localSheetId="6">#REF!</definedName>
    <definedName name="fgdsfdgf">#REF!</definedName>
    <definedName name="Full_Print">#REF!</definedName>
    <definedName name="Header_Row">ROW(#REF!)</definedName>
    <definedName name="Int">#REF!</definedName>
    <definedName name="INTBAL">#REF!</definedName>
    <definedName name="Interest_Rate">#REF!</definedName>
    <definedName name="INVENTORY96">#REF!</definedName>
    <definedName name="INVENTORY97">#REF!</definedName>
    <definedName name="INVENTORY98">#REF!</definedName>
    <definedName name="JMH_Markups">#REF!</definedName>
    <definedName name="LAND4SALE96">#REF!</definedName>
    <definedName name="LAND4SALE97">#REF!</definedName>
    <definedName name="LANDREDUCE97">#REF!</definedName>
    <definedName name="Last_Row" localSheetId="3">IF('Cost Recovery Timing'!Values_Entered,[0]!Header_Row+'Cost Recovery Timing'!Number_of_Payments,[0]!Header_Row)</definedName>
    <definedName name="Last_Row" localSheetId="4">IF('Project List '!Values_Entered,[0]!Header_Row+'Project List '!Number_of_Payments,[0]!Header_Row)</definedName>
    <definedName name="Last_Row" localSheetId="6">IF('Recreation - OSL'!Values_Entered,[0]!Header_Row+'Recreation - OSL'!Number_of_Payments,[0]!Header_Row)</definedName>
    <definedName name="Last_Row" localSheetId="5">IF('R-Recreation'!Values_Entered,[0]!Header_Row+'R-Recreation'!Number_of_Payments,[0]!Header_Row)</definedName>
    <definedName name="Last_Row">IF(Values_Entered,Header_Row+Number_of_Payments,Header_Row)</definedName>
    <definedName name="Loan_Amount">#REF!</definedName>
    <definedName name="Loan_Start">#REF!</definedName>
    <definedName name="Loan_Years">#REF!</definedName>
    <definedName name="Num_Pmt_Per_Year">#REF!</definedName>
    <definedName name="Number_of_Payments" localSheetId="3">MATCH(0.01,[0]!End_Bal,-1)+1</definedName>
    <definedName name="Number_of_Payments" localSheetId="4">MATCH(0.01,[0]!End_Bal,-1)+1</definedName>
    <definedName name="Number_of_Payments" localSheetId="6">MATCH(0.01,[0]!End_Bal,-1)+1</definedName>
    <definedName name="Number_of_Payments" localSheetId="5">MATCH(0.01,[0]!End_Bal,-1)+1</definedName>
    <definedName name="Number_of_Payments">MATCH(0.01,End_Bal,-1)+1</definedName>
    <definedName name="Pay_Date">#REF!</definedName>
    <definedName name="Pay_Num">#REF!</definedName>
    <definedName name="Payment_Date" localSheetId="3">DATE(YEAR([0]!Loan_Start),MONTH([0]!Loan_Start)+Payment_Number,DAY([0]!Loan_Start))</definedName>
    <definedName name="Payment_Date" localSheetId="7">DATE(YEAR([0]!Loan_Start),MONTH([0]!Loan_Start)+Payment_Number,DAY([0]!Loan_Start))</definedName>
    <definedName name="Payment_Date" localSheetId="4">DATE(YEAR([0]!Loan_Start),MONTH([0]!Loan_Start)+Payment_Number,DAY([0]!Loan_Start))</definedName>
    <definedName name="Payment_Date" localSheetId="6">DATE(YEAR([0]!Loan_Start),MONTH([0]!Loan_Start)+Payment_Number,DAY([0]!Loan_Start))</definedName>
    <definedName name="Payment_Date" localSheetId="5">DATE(YEAR([0]!Loan_Start),MONTH([0]!Loan_Start)+Payment_Number,DAY([0]!Loan_Start))</definedName>
    <definedName name="Payment_Date">DATE(YEAR(Loan_Start),MONTH(Loan_Start)+Payment_Number,DAY(Loan_Start))</definedName>
    <definedName name="payments_per_year" localSheetId="3">#REF!</definedName>
    <definedName name="payments_per_year" localSheetId="7">#REF!</definedName>
    <definedName name="payments_per_year" localSheetId="6">#REF!</definedName>
    <definedName name="payments_per_year">#REF!</definedName>
    <definedName name="Princ">#REF!</definedName>
    <definedName name="PRINCBAL">#REF!</definedName>
    <definedName name="_xlnm.Print_Area" localSheetId="4">'Project List '!$A$1:$AN$10</definedName>
    <definedName name="Print_Area_Reset" localSheetId="3">OFFSET([0]!Full_Print,0,0,'Cost Recovery Timing'!Last_Row)</definedName>
    <definedName name="Print_Area_Reset" localSheetId="4">OFFSET([0]!Full_Print,0,0,'Project List '!Last_Row)</definedName>
    <definedName name="Print_Area_Reset" localSheetId="6">OFFSET([0]!Full_Print,0,0,'Recreation - OSL'!Last_Row)</definedName>
    <definedName name="Print_Area_Reset" localSheetId="5">OFFSET([0]!Full_Print,0,0,'R-Recreation'!Last_Row)</definedName>
    <definedName name="Print_Area_Reset">OFFSET(Full_Print,0,0,Last_Row)</definedName>
    <definedName name="Projects">#REF!</definedName>
    <definedName name="Residential?">#REF!</definedName>
    <definedName name="Sched_Pay">#REF!</definedName>
    <definedName name="Scheduled_Extra_Payments">#REF!</definedName>
    <definedName name="Scheduled_Interest_Rate">#REF!</definedName>
    <definedName name="Scheduled_Monthly_Payment">#REF!</definedName>
    <definedName name="solver_adj" localSheetId="6" hidden="1">'Recreation - OSL'!$I$20</definedName>
    <definedName name="solver_cvg" localSheetId="6" hidden="1">0.0001</definedName>
    <definedName name="solver_drv" localSheetId="6" hidden="1">1</definedName>
    <definedName name="solver_eng" localSheetId="6" hidden="1">1</definedName>
    <definedName name="solver_est" localSheetId="6" hidden="1">1</definedName>
    <definedName name="solver_itr" localSheetId="6" hidden="1">2147483647</definedName>
    <definedName name="solver_mip" localSheetId="6" hidden="1">2147483647</definedName>
    <definedName name="solver_mni" localSheetId="6" hidden="1">30</definedName>
    <definedName name="solver_mrt" localSheetId="6" hidden="1">0.075</definedName>
    <definedName name="solver_msl" localSheetId="6" hidden="1">2</definedName>
    <definedName name="solver_neg" localSheetId="6" hidden="1">1</definedName>
    <definedName name="solver_nod" localSheetId="6" hidden="1">2147483647</definedName>
    <definedName name="solver_num" localSheetId="6" hidden="1">0</definedName>
    <definedName name="solver_nwt" localSheetId="6" hidden="1">1</definedName>
    <definedName name="solver_opt" localSheetId="6" hidden="1">'Recreation - OSL'!$N$46</definedName>
    <definedName name="solver_pre" localSheetId="6" hidden="1">0.000001</definedName>
    <definedName name="solver_rbv" localSheetId="6" hidden="1">1</definedName>
    <definedName name="solver_rlx" localSheetId="6" hidden="1">2</definedName>
    <definedName name="solver_rsd" localSheetId="6" hidden="1">0</definedName>
    <definedName name="solver_scl" localSheetId="6" hidden="1">1</definedName>
    <definedName name="solver_sho" localSheetId="6" hidden="1">2</definedName>
    <definedName name="solver_ssz" localSheetId="6" hidden="1">100</definedName>
    <definedName name="solver_tim" localSheetId="6" hidden="1">2147483647</definedName>
    <definedName name="solver_tol" localSheetId="6" hidden="1">0.01</definedName>
    <definedName name="solver_typ" localSheetId="6" hidden="1">3</definedName>
    <definedName name="solver_val" localSheetId="6" hidden="1">0</definedName>
    <definedName name="solver_ver" localSheetId="6" hidden="1">3</definedName>
    <definedName name="start_date" localSheetId="3">#REF!</definedName>
    <definedName name="start_date" localSheetId="7">#REF!</definedName>
    <definedName name="start_date" localSheetId="6">#REF!</definedName>
    <definedName name="start_date">#REF!</definedName>
    <definedName name="Summaryada" localSheetId="6">#REF!</definedName>
    <definedName name="Summaryada">#REF!</definedName>
    <definedName name="Total_Interest">#REF!</definedName>
    <definedName name="Total_Pay">#REF!</definedName>
    <definedName name="Values_Entered" localSheetId="3">IF([0]!Loan_Amount*[0]!Interest_Rate*[0]!Loan_Years*[0]!Loan_Start&gt;0,1,0)</definedName>
    <definedName name="Values_Entered" localSheetId="4">IF([0]!Loan_Amount*[0]!Interest_Rate*[0]!Loan_Years*[0]!Loan_Start&gt;0,1,0)</definedName>
    <definedName name="Values_Entered" localSheetId="6">IF([0]!Loan_Amount*[0]!Interest_Rate*[0]!Loan_Years*[0]!Loan_Start&gt;0,1,0)</definedName>
    <definedName name="Values_Entered" localSheetId="5">IF([0]!Loan_Amount*[0]!Interest_Rate*[0]!Loan_Years*[0]!Loan_Start&gt;0,1,0)</definedName>
    <definedName name="Values_Entered">IF(Loan_Amount*Interest_Rate*Loan_Years*Loan_Start&gt;0,1,0)</definedName>
    <definedName name="years" localSheetId="3">#REF!</definedName>
    <definedName name="years" localSheetId="7">#REF!</definedName>
    <definedName name="years" localSheetId="6">#REF!</definedName>
    <definedName name="years">#REF!</definedName>
    <definedName name="ZonetoJune302013">#REF!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BT15" i="231" l="1"/>
  <c r="BT14" i="231"/>
  <c r="BT13" i="231"/>
  <c r="BT12" i="231"/>
  <c r="AG6" i="237"/>
  <c r="AF6" i="237"/>
  <c r="M8" i="237"/>
  <c r="M6" i="237"/>
  <c r="N8" i="237" l="1"/>
  <c r="N6" i="237"/>
  <c r="B32" i="130"/>
  <c r="AE6" i="237" l="1"/>
  <c r="I46" i="231"/>
  <c r="I47" i="231"/>
  <c r="I48" i="231"/>
  <c r="I49" i="231"/>
  <c r="I50" i="231"/>
  <c r="I51" i="231"/>
  <c r="I52" i="231"/>
  <c r="I53" i="231"/>
  <c r="I54" i="231"/>
  <c r="I55" i="231"/>
  <c r="I56" i="231"/>
  <c r="I57" i="231"/>
  <c r="I58" i="231"/>
  <c r="I59" i="231"/>
  <c r="I60" i="231"/>
  <c r="I61" i="231"/>
  <c r="I62" i="231"/>
  <c r="I63" i="231"/>
  <c r="I64" i="231"/>
  <c r="I65" i="231"/>
  <c r="I66" i="231"/>
  <c r="I67" i="231"/>
  <c r="I68" i="231"/>
  <c r="I69" i="231"/>
  <c r="I70" i="231"/>
  <c r="I71" i="231"/>
  <c r="B6" i="130"/>
  <c r="B7" i="130"/>
  <c r="C14" i="244" l="1"/>
  <c r="J6" i="237" l="1"/>
  <c r="L6" i="237"/>
  <c r="J7" i="237"/>
  <c r="L7" i="237"/>
  <c r="AE7" i="237"/>
  <c r="AF7" i="237"/>
  <c r="AH7" i="237" s="1"/>
  <c r="J8" i="237"/>
  <c r="L8" i="237"/>
  <c r="AE8" i="237"/>
  <c r="AG7" i="237" l="1"/>
  <c r="AI7" i="237"/>
  <c r="AH6" i="237"/>
  <c r="AF8" i="237"/>
  <c r="AH8" i="237" s="1"/>
  <c r="AI8" i="237"/>
  <c r="AG8" i="237"/>
  <c r="AI6" i="237"/>
  <c r="R3" i="242" l="1"/>
  <c r="N15" i="242" s="1"/>
  <c r="C9" i="244"/>
  <c r="H29" i="231"/>
  <c r="H30" i="231"/>
  <c r="H31" i="231"/>
  <c r="H32" i="231"/>
  <c r="H33" i="231"/>
  <c r="H34" i="231"/>
  <c r="H35" i="231"/>
  <c r="H36" i="231"/>
  <c r="H37" i="231"/>
  <c r="H38" i="231"/>
  <c r="H39" i="231"/>
  <c r="H40" i="231"/>
  <c r="H41" i="231"/>
  <c r="H42" i="231"/>
  <c r="H43" i="231"/>
  <c r="H44" i="231"/>
  <c r="H45" i="231"/>
  <c r="H46" i="231"/>
  <c r="H47" i="231"/>
  <c r="H48" i="231"/>
  <c r="H49" i="231"/>
  <c r="H50" i="231"/>
  <c r="H51" i="231"/>
  <c r="H52" i="231"/>
  <c r="H53" i="231"/>
  <c r="H54" i="231"/>
  <c r="H55" i="231"/>
  <c r="H56" i="231"/>
  <c r="H57" i="231"/>
  <c r="H58" i="231"/>
  <c r="H59" i="231"/>
  <c r="H60" i="231"/>
  <c r="H61" i="231"/>
  <c r="H62" i="231"/>
  <c r="H63" i="231"/>
  <c r="H64" i="231"/>
  <c r="H65" i="231"/>
  <c r="H66" i="231"/>
  <c r="H67" i="231"/>
  <c r="H68" i="231"/>
  <c r="H69" i="231"/>
  <c r="H70" i="231"/>
  <c r="H71" i="231"/>
  <c r="H28" i="231"/>
  <c r="M7" i="231" l="1"/>
  <c r="N7" i="231"/>
  <c r="O7" i="231"/>
  <c r="P7" i="231"/>
  <c r="Q7" i="231"/>
  <c r="R7" i="231"/>
  <c r="S7" i="231"/>
  <c r="T7" i="231"/>
  <c r="U7" i="231"/>
  <c r="V7" i="231"/>
  <c r="W7" i="231"/>
  <c r="X7" i="231"/>
  <c r="Y7" i="231"/>
  <c r="Z7" i="231"/>
  <c r="AA7" i="231"/>
  <c r="AB7" i="231"/>
  <c r="AC7" i="231"/>
  <c r="AD7" i="231"/>
  <c r="AE7" i="231"/>
  <c r="AF7" i="231"/>
  <c r="AG7" i="231"/>
  <c r="AH7" i="231"/>
  <c r="AI7" i="231"/>
  <c r="AJ7" i="231"/>
  <c r="AK7" i="231"/>
  <c r="AL7" i="231"/>
  <c r="AM7" i="231"/>
  <c r="AN7" i="231"/>
  <c r="AO7" i="231"/>
  <c r="AP7" i="231"/>
  <c r="AQ7" i="231"/>
  <c r="AR7" i="231"/>
  <c r="AS7" i="231"/>
  <c r="AT7" i="231"/>
  <c r="AU7" i="231"/>
  <c r="AV7" i="231"/>
  <c r="AW7" i="231"/>
  <c r="AX7" i="231"/>
  <c r="AY7" i="231"/>
  <c r="AZ7" i="231"/>
  <c r="BA7" i="231"/>
  <c r="BB7" i="231"/>
  <c r="BC7" i="231"/>
  <c r="BD7" i="231"/>
  <c r="BE7" i="231"/>
  <c r="BF7" i="231"/>
  <c r="BG7" i="231"/>
  <c r="BH7" i="231"/>
  <c r="BI7" i="231"/>
  <c r="BJ7" i="231"/>
  <c r="BK7" i="231"/>
  <c r="BL7" i="231"/>
  <c r="BM7" i="231"/>
  <c r="BN7" i="231"/>
  <c r="BO7" i="231"/>
  <c r="BP7" i="231"/>
  <c r="BQ7" i="231"/>
  <c r="BR7" i="231"/>
  <c r="BS7" i="231"/>
  <c r="L7" i="231"/>
  <c r="B8" i="244" l="1"/>
  <c r="B7" i="244"/>
  <c r="B6" i="244"/>
  <c r="B9" i="244" l="1"/>
  <c r="B32" i="244" s="1"/>
  <c r="B33" i="244" s="1"/>
  <c r="B19" i="244" l="1"/>
  <c r="O15" i="242"/>
  <c r="R15" i="242" l="1"/>
  <c r="C28" i="244" l="1"/>
  <c r="B28" i="244" l="1"/>
  <c r="B18" i="244" s="1"/>
  <c r="B20" i="244" s="1"/>
  <c r="C28" i="231" l="1"/>
  <c r="I14" i="242" l="1"/>
  <c r="D7" i="213" l="1"/>
  <c r="E7" i="213"/>
  <c r="F7" i="213"/>
  <c r="C13" i="231" s="1"/>
  <c r="G7" i="213"/>
  <c r="D13" i="231" s="1"/>
  <c r="H7" i="213"/>
  <c r="I13" i="231" s="1"/>
  <c r="J13" i="231" s="1"/>
  <c r="J7" i="213"/>
  <c r="L7" i="213"/>
  <c r="C7" i="213"/>
  <c r="B13" i="231" s="1"/>
  <c r="E13" i="231" l="1"/>
  <c r="M7" i="213" l="1"/>
  <c r="N7" i="213" l="1"/>
  <c r="K7" i="213"/>
  <c r="I7" i="213"/>
  <c r="F13" i="231" l="1"/>
  <c r="H13" i="231" s="1"/>
  <c r="K13" i="231" s="1"/>
  <c r="L13" i="231" s="1"/>
  <c r="O7" i="213"/>
  <c r="P7" i="213"/>
  <c r="B5" i="231" l="1"/>
  <c r="D8" i="213"/>
  <c r="E8" i="213"/>
  <c r="F8" i="213"/>
  <c r="G8" i="213"/>
  <c r="H8" i="213"/>
  <c r="J8" i="213"/>
  <c r="J6" i="213"/>
  <c r="H6" i="213"/>
  <c r="C8" i="213"/>
  <c r="B14" i="231" s="1"/>
  <c r="G6" i="213"/>
  <c r="F6" i="213"/>
  <c r="C12" i="231" s="1"/>
  <c r="E6" i="213"/>
  <c r="D6" i="213"/>
  <c r="C6" i="213"/>
  <c r="B12" i="231" s="1"/>
  <c r="K124" i="242" l="1"/>
  <c r="N124" i="242" s="1"/>
  <c r="K123" i="242"/>
  <c r="N123" i="242" s="1"/>
  <c r="K122" i="242"/>
  <c r="N122" i="242" s="1"/>
  <c r="K121" i="242"/>
  <c r="N121" i="242" s="1"/>
  <c r="K120" i="242"/>
  <c r="N120" i="242" s="1"/>
  <c r="K119" i="242"/>
  <c r="N119" i="242" s="1"/>
  <c r="K118" i="242"/>
  <c r="N118" i="242" s="1"/>
  <c r="K117" i="242"/>
  <c r="N117" i="242" s="1"/>
  <c r="K116" i="242"/>
  <c r="N116" i="242" s="1"/>
  <c r="K115" i="242"/>
  <c r="N115" i="242" s="1"/>
  <c r="K114" i="242"/>
  <c r="N114" i="242" s="1"/>
  <c r="K113" i="242"/>
  <c r="N113" i="242" s="1"/>
  <c r="K112" i="242"/>
  <c r="N112" i="242" s="1"/>
  <c r="K111" i="242"/>
  <c r="N111" i="242" s="1"/>
  <c r="K110" i="242"/>
  <c r="N110" i="242" s="1"/>
  <c r="K109" i="242"/>
  <c r="N109" i="242" s="1"/>
  <c r="K108" i="242"/>
  <c r="N108" i="242" s="1"/>
  <c r="K107" i="242"/>
  <c r="N107" i="242" s="1"/>
  <c r="K106" i="242"/>
  <c r="N106" i="242" s="1"/>
  <c r="K105" i="242"/>
  <c r="N105" i="242" s="1"/>
  <c r="K104" i="242"/>
  <c r="N104" i="242" s="1"/>
  <c r="K103" i="242"/>
  <c r="N103" i="242" s="1"/>
  <c r="K102" i="242"/>
  <c r="N102" i="242" s="1"/>
  <c r="K101" i="242"/>
  <c r="N101" i="242" s="1"/>
  <c r="K100" i="242"/>
  <c r="N100" i="242" s="1"/>
  <c r="K99" i="242"/>
  <c r="N99" i="242" s="1"/>
  <c r="K98" i="242"/>
  <c r="N98" i="242" s="1"/>
  <c r="K97" i="242"/>
  <c r="N97" i="242" s="1"/>
  <c r="K96" i="242"/>
  <c r="N96" i="242" s="1"/>
  <c r="K95" i="242"/>
  <c r="N95" i="242" s="1"/>
  <c r="K94" i="242"/>
  <c r="N94" i="242" s="1"/>
  <c r="K93" i="242"/>
  <c r="N93" i="242" s="1"/>
  <c r="K92" i="242"/>
  <c r="N92" i="242" s="1"/>
  <c r="K91" i="242"/>
  <c r="N91" i="242" s="1"/>
  <c r="K90" i="242"/>
  <c r="N90" i="242" s="1"/>
  <c r="K89" i="242"/>
  <c r="N89" i="242" s="1"/>
  <c r="K88" i="242"/>
  <c r="N88" i="242" s="1"/>
  <c r="K87" i="242"/>
  <c r="N87" i="242" s="1"/>
  <c r="K86" i="242"/>
  <c r="N86" i="242" s="1"/>
  <c r="K85" i="242"/>
  <c r="N85" i="242" s="1"/>
  <c r="K84" i="242"/>
  <c r="N84" i="242" s="1"/>
  <c r="K83" i="242"/>
  <c r="N83" i="242" s="1"/>
  <c r="K82" i="242"/>
  <c r="N82" i="242" s="1"/>
  <c r="K81" i="242"/>
  <c r="N81" i="242" s="1"/>
  <c r="K80" i="242"/>
  <c r="N80" i="242" s="1"/>
  <c r="K79" i="242"/>
  <c r="N79" i="242" s="1"/>
  <c r="K78" i="242"/>
  <c r="N78" i="242" s="1"/>
  <c r="K77" i="242"/>
  <c r="N77" i="242" s="1"/>
  <c r="K76" i="242"/>
  <c r="N76" i="242" s="1"/>
  <c r="K75" i="242"/>
  <c r="N75" i="242" s="1"/>
  <c r="K74" i="242"/>
  <c r="N74" i="242" s="1"/>
  <c r="K73" i="242"/>
  <c r="N73" i="242" s="1"/>
  <c r="K72" i="242"/>
  <c r="N72" i="242" s="1"/>
  <c r="K71" i="242"/>
  <c r="N71" i="242" s="1"/>
  <c r="K70" i="242"/>
  <c r="N70" i="242" s="1"/>
  <c r="K69" i="242"/>
  <c r="N69" i="242" s="1"/>
  <c r="K68" i="242"/>
  <c r="N68" i="242" s="1"/>
  <c r="K67" i="242"/>
  <c r="N67" i="242" s="1"/>
  <c r="K66" i="242"/>
  <c r="N66" i="242" s="1"/>
  <c r="K65" i="242"/>
  <c r="N65" i="242" s="1"/>
  <c r="K64" i="242"/>
  <c r="N64" i="242" s="1"/>
  <c r="K63" i="242"/>
  <c r="N63" i="242" s="1"/>
  <c r="K62" i="242"/>
  <c r="N62" i="242" s="1"/>
  <c r="K61" i="242"/>
  <c r="N61" i="242" s="1"/>
  <c r="K60" i="242"/>
  <c r="N60" i="242" s="1"/>
  <c r="K59" i="242"/>
  <c r="N59" i="242" s="1"/>
  <c r="K58" i="242"/>
  <c r="N58" i="242" s="1"/>
  <c r="K57" i="242"/>
  <c r="N57" i="242" s="1"/>
  <c r="K56" i="242"/>
  <c r="N56" i="242" s="1"/>
  <c r="K55" i="242"/>
  <c r="N55" i="242" s="1"/>
  <c r="K54" i="242"/>
  <c r="N54" i="242" s="1"/>
  <c r="K53" i="242"/>
  <c r="N53" i="242" s="1"/>
  <c r="K52" i="242"/>
  <c r="N52" i="242" s="1"/>
  <c r="K51" i="242"/>
  <c r="N51" i="242" s="1"/>
  <c r="K50" i="242"/>
  <c r="N50" i="242" s="1"/>
  <c r="K49" i="242"/>
  <c r="N49" i="242" s="1"/>
  <c r="K48" i="242"/>
  <c r="N48" i="242" s="1"/>
  <c r="K47" i="242"/>
  <c r="N47" i="242" s="1"/>
  <c r="K46" i="242"/>
  <c r="N46" i="242" s="1"/>
  <c r="K45" i="242"/>
  <c r="N45" i="242" s="1"/>
  <c r="K44" i="242"/>
  <c r="N44" i="242" s="1"/>
  <c r="K43" i="242"/>
  <c r="N43" i="242" s="1"/>
  <c r="K42" i="242"/>
  <c r="N42" i="242" s="1"/>
  <c r="K41" i="242"/>
  <c r="N41" i="242" s="1"/>
  <c r="K40" i="242"/>
  <c r="N40" i="242" s="1"/>
  <c r="K39" i="242"/>
  <c r="N39" i="242" s="1"/>
  <c r="K38" i="242"/>
  <c r="N38" i="242" s="1"/>
  <c r="K37" i="242"/>
  <c r="N37" i="242" s="1"/>
  <c r="K36" i="242"/>
  <c r="N36" i="242" s="1"/>
  <c r="K35" i="242"/>
  <c r="N35" i="242" s="1"/>
  <c r="K34" i="242"/>
  <c r="N34" i="242" s="1"/>
  <c r="K33" i="242"/>
  <c r="N33" i="242" s="1"/>
  <c r="K32" i="242"/>
  <c r="N32" i="242" s="1"/>
  <c r="K31" i="242"/>
  <c r="N31" i="242" s="1"/>
  <c r="K30" i="242"/>
  <c r="N30" i="242" s="1"/>
  <c r="K29" i="242"/>
  <c r="N29" i="242" s="1"/>
  <c r="K28" i="242"/>
  <c r="N28" i="242" s="1"/>
  <c r="K27" i="242"/>
  <c r="N27" i="242" s="1"/>
  <c r="K26" i="242"/>
  <c r="N26" i="242" s="1"/>
  <c r="K25" i="242"/>
  <c r="N25" i="242" s="1"/>
  <c r="K24" i="242"/>
  <c r="N24" i="242" s="1"/>
  <c r="K23" i="242"/>
  <c r="N23" i="242" s="1"/>
  <c r="K22" i="242"/>
  <c r="N22" i="242" s="1"/>
  <c r="K21" i="242"/>
  <c r="N21" i="242" s="1"/>
  <c r="K20" i="242"/>
  <c r="N20" i="242" s="1"/>
  <c r="K19" i="242"/>
  <c r="N19" i="242" s="1"/>
  <c r="K18" i="242"/>
  <c r="N18" i="242" s="1"/>
  <c r="K17" i="242"/>
  <c r="N17" i="242" s="1"/>
  <c r="K16" i="242"/>
  <c r="N16" i="242" s="1"/>
  <c r="O16" i="242" s="1"/>
  <c r="K15" i="242"/>
  <c r="E15" i="242"/>
  <c r="D15" i="242" s="1"/>
  <c r="C14" i="242" s="1"/>
  <c r="K14" i="242"/>
  <c r="J14" i="242"/>
  <c r="J15" i="242" s="1"/>
  <c r="J16" i="242" s="1"/>
  <c r="J17" i="242" s="1"/>
  <c r="J18" i="242" s="1"/>
  <c r="J19" i="242" s="1"/>
  <c r="J20" i="242" s="1"/>
  <c r="J21" i="242" s="1"/>
  <c r="J22" i="242" s="1"/>
  <c r="J23" i="242" s="1"/>
  <c r="J24" i="242" s="1"/>
  <c r="J25" i="242" s="1"/>
  <c r="J26" i="242" s="1"/>
  <c r="J27" i="242" s="1"/>
  <c r="J28" i="242" s="1"/>
  <c r="J29" i="242" s="1"/>
  <c r="J30" i="242" s="1"/>
  <c r="J31" i="242" s="1"/>
  <c r="J32" i="242" s="1"/>
  <c r="J33" i="242" s="1"/>
  <c r="J34" i="242" s="1"/>
  <c r="J35" i="242" s="1"/>
  <c r="J36" i="242" s="1"/>
  <c r="J37" i="242" s="1"/>
  <c r="J38" i="242" s="1"/>
  <c r="J39" i="242" s="1"/>
  <c r="J40" i="242" s="1"/>
  <c r="J41" i="242" s="1"/>
  <c r="J42" i="242" s="1"/>
  <c r="J43" i="242" s="1"/>
  <c r="J44" i="242" s="1"/>
  <c r="J45" i="242" s="1"/>
  <c r="J46" i="242" s="1"/>
  <c r="J47" i="242" s="1"/>
  <c r="J48" i="242" s="1"/>
  <c r="J49" i="242" s="1"/>
  <c r="J50" i="242" s="1"/>
  <c r="J51" i="242" s="1"/>
  <c r="J52" i="242" s="1"/>
  <c r="J53" i="242" s="1"/>
  <c r="J54" i="242" s="1"/>
  <c r="J55" i="242" s="1"/>
  <c r="J56" i="242" s="1"/>
  <c r="J57" i="242" s="1"/>
  <c r="J58" i="242" s="1"/>
  <c r="J59" i="242" s="1"/>
  <c r="J60" i="242" s="1"/>
  <c r="J61" i="242" s="1"/>
  <c r="J62" i="242" s="1"/>
  <c r="J63" i="242" s="1"/>
  <c r="J64" i="242" s="1"/>
  <c r="J65" i="242" s="1"/>
  <c r="J66" i="242" s="1"/>
  <c r="J67" i="242" s="1"/>
  <c r="J68" i="242" s="1"/>
  <c r="J69" i="242" s="1"/>
  <c r="J70" i="242" s="1"/>
  <c r="J71" i="242" s="1"/>
  <c r="J72" i="242" s="1"/>
  <c r="J73" i="242" s="1"/>
  <c r="J74" i="242" s="1"/>
  <c r="J75" i="242" s="1"/>
  <c r="J76" i="242" s="1"/>
  <c r="J77" i="242" s="1"/>
  <c r="J78" i="242" s="1"/>
  <c r="J79" i="242" s="1"/>
  <c r="J80" i="242" s="1"/>
  <c r="J81" i="242" s="1"/>
  <c r="J82" i="242" s="1"/>
  <c r="J83" i="242" s="1"/>
  <c r="J84" i="242" s="1"/>
  <c r="J85" i="242" s="1"/>
  <c r="J86" i="242" s="1"/>
  <c r="J87" i="242" s="1"/>
  <c r="J88" i="242" s="1"/>
  <c r="J89" i="242" s="1"/>
  <c r="J90" i="242" s="1"/>
  <c r="J91" i="242" s="1"/>
  <c r="J92" i="242" s="1"/>
  <c r="J93" i="242" s="1"/>
  <c r="J94" i="242" s="1"/>
  <c r="J95" i="242" s="1"/>
  <c r="J96" i="242" s="1"/>
  <c r="J97" i="242" s="1"/>
  <c r="J98" i="242" s="1"/>
  <c r="J99" i="242" s="1"/>
  <c r="J100" i="242" s="1"/>
  <c r="J101" i="242" s="1"/>
  <c r="J102" i="242" s="1"/>
  <c r="J103" i="242" s="1"/>
  <c r="J104" i="242" s="1"/>
  <c r="J105" i="242" s="1"/>
  <c r="J106" i="242" s="1"/>
  <c r="J107" i="242" s="1"/>
  <c r="J108" i="242" s="1"/>
  <c r="J109" i="242" s="1"/>
  <c r="J110" i="242" s="1"/>
  <c r="J111" i="242" s="1"/>
  <c r="J112" i="242" s="1"/>
  <c r="J113" i="242" s="1"/>
  <c r="J114" i="242" s="1"/>
  <c r="J115" i="242" s="1"/>
  <c r="J116" i="242" s="1"/>
  <c r="J117" i="242" s="1"/>
  <c r="J118" i="242" s="1"/>
  <c r="J119" i="242" s="1"/>
  <c r="J120" i="242" s="1"/>
  <c r="J121" i="242" s="1"/>
  <c r="J122" i="242" s="1"/>
  <c r="J123" i="242" s="1"/>
  <c r="J124" i="242" s="1"/>
  <c r="I15" i="242"/>
  <c r="I16" i="242" s="1"/>
  <c r="I17" i="242" s="1"/>
  <c r="I18" i="242" s="1"/>
  <c r="I19" i="242" s="1"/>
  <c r="I20" i="242" s="1"/>
  <c r="I21" i="242" s="1"/>
  <c r="I22" i="242" s="1"/>
  <c r="I23" i="242" s="1"/>
  <c r="I24" i="242" s="1"/>
  <c r="I25" i="242" s="1"/>
  <c r="I26" i="242" s="1"/>
  <c r="I27" i="242" s="1"/>
  <c r="I28" i="242" s="1"/>
  <c r="I29" i="242" s="1"/>
  <c r="I30" i="242" s="1"/>
  <c r="I31" i="242" s="1"/>
  <c r="I32" i="242" s="1"/>
  <c r="I33" i="242" s="1"/>
  <c r="I34" i="242" s="1"/>
  <c r="I35" i="242" s="1"/>
  <c r="I36" i="242" s="1"/>
  <c r="I37" i="242" s="1"/>
  <c r="I38" i="242" s="1"/>
  <c r="I39" i="242" s="1"/>
  <c r="I40" i="242" s="1"/>
  <c r="I41" i="242" s="1"/>
  <c r="I42" i="242" s="1"/>
  <c r="I43" i="242" s="1"/>
  <c r="I44" i="242" s="1"/>
  <c r="I45" i="242" s="1"/>
  <c r="I46" i="242" s="1"/>
  <c r="I47" i="242" s="1"/>
  <c r="I48" i="242" s="1"/>
  <c r="I49" i="242" s="1"/>
  <c r="I50" i="242" s="1"/>
  <c r="I51" i="242" s="1"/>
  <c r="I52" i="242" s="1"/>
  <c r="I53" i="242" s="1"/>
  <c r="I54" i="242" s="1"/>
  <c r="I55" i="242" s="1"/>
  <c r="I56" i="242" s="1"/>
  <c r="I57" i="242" s="1"/>
  <c r="I58" i="242" s="1"/>
  <c r="I59" i="242" s="1"/>
  <c r="I60" i="242" s="1"/>
  <c r="I61" i="242" s="1"/>
  <c r="I62" i="242" s="1"/>
  <c r="I63" i="242" s="1"/>
  <c r="I64" i="242" s="1"/>
  <c r="I65" i="242" s="1"/>
  <c r="I66" i="242" s="1"/>
  <c r="I67" i="242" s="1"/>
  <c r="I68" i="242" s="1"/>
  <c r="I69" i="242" s="1"/>
  <c r="I70" i="242" s="1"/>
  <c r="I71" i="242" s="1"/>
  <c r="I72" i="242" s="1"/>
  <c r="I73" i="242" s="1"/>
  <c r="I74" i="242" s="1"/>
  <c r="I75" i="242" s="1"/>
  <c r="I76" i="242" s="1"/>
  <c r="I77" i="242" s="1"/>
  <c r="I78" i="242" s="1"/>
  <c r="I79" i="242" s="1"/>
  <c r="I80" i="242" s="1"/>
  <c r="I81" i="242" s="1"/>
  <c r="I82" i="242" s="1"/>
  <c r="I83" i="242" s="1"/>
  <c r="I84" i="242" s="1"/>
  <c r="I85" i="242" s="1"/>
  <c r="I86" i="242" s="1"/>
  <c r="I87" i="242" s="1"/>
  <c r="I88" i="242" s="1"/>
  <c r="I89" i="242" s="1"/>
  <c r="I90" i="242" s="1"/>
  <c r="I91" i="242" s="1"/>
  <c r="I92" i="242" s="1"/>
  <c r="I93" i="242" s="1"/>
  <c r="I94" i="242" s="1"/>
  <c r="I95" i="242" s="1"/>
  <c r="I96" i="242" s="1"/>
  <c r="I97" i="242" s="1"/>
  <c r="I98" i="242" s="1"/>
  <c r="I99" i="242" s="1"/>
  <c r="I100" i="242" s="1"/>
  <c r="I101" i="242" s="1"/>
  <c r="I102" i="242" s="1"/>
  <c r="I103" i="242" s="1"/>
  <c r="I104" i="242" s="1"/>
  <c r="I105" i="242" s="1"/>
  <c r="I106" i="242" s="1"/>
  <c r="I107" i="242" s="1"/>
  <c r="I108" i="242" s="1"/>
  <c r="I109" i="242" s="1"/>
  <c r="I110" i="242" s="1"/>
  <c r="I111" i="242" s="1"/>
  <c r="I112" i="242" s="1"/>
  <c r="I113" i="242" s="1"/>
  <c r="I114" i="242" s="1"/>
  <c r="I115" i="242" s="1"/>
  <c r="I116" i="242" s="1"/>
  <c r="I117" i="242" s="1"/>
  <c r="I118" i="242" s="1"/>
  <c r="I119" i="242" s="1"/>
  <c r="I120" i="242" s="1"/>
  <c r="I121" i="242" s="1"/>
  <c r="I122" i="242" s="1"/>
  <c r="I123" i="242" s="1"/>
  <c r="I124" i="242" s="1"/>
  <c r="O17" i="242" l="1"/>
  <c r="O18" i="242" s="1"/>
  <c r="R16" i="242"/>
  <c r="R8" i="242"/>
  <c r="E16" i="242"/>
  <c r="L15" i="242"/>
  <c r="L16" i="242" s="1"/>
  <c r="R18" i="242" l="1"/>
  <c r="O19" i="242"/>
  <c r="R17" i="242"/>
  <c r="L17" i="242"/>
  <c r="E17" i="242"/>
  <c r="E18" i="242" s="1"/>
  <c r="D16" i="242"/>
  <c r="R19" i="242" l="1"/>
  <c r="O20" i="242"/>
  <c r="L18" i="242"/>
  <c r="G29" i="231"/>
  <c r="C15" i="242"/>
  <c r="G28" i="231"/>
  <c r="E19" i="242"/>
  <c r="E20" i="242" s="1"/>
  <c r="E21" i="242" s="1"/>
  <c r="D17" i="242"/>
  <c r="R20" i="242" l="1"/>
  <c r="O21" i="242"/>
  <c r="L19" i="242"/>
  <c r="G30" i="231"/>
  <c r="D18" i="242"/>
  <c r="C16" i="242"/>
  <c r="E22" i="242"/>
  <c r="R21" i="242" l="1"/>
  <c r="O22" i="242"/>
  <c r="L20" i="242"/>
  <c r="G31" i="231"/>
  <c r="D19" i="242"/>
  <c r="C17" i="242"/>
  <c r="E23" i="242"/>
  <c r="R22" i="242" l="1"/>
  <c r="O23" i="242"/>
  <c r="L21" i="242"/>
  <c r="D20" i="242"/>
  <c r="C18" i="242"/>
  <c r="E24" i="242"/>
  <c r="R23" i="242" l="1"/>
  <c r="O24" i="242"/>
  <c r="L22" i="242"/>
  <c r="D21" i="242"/>
  <c r="C20" i="242" s="1"/>
  <c r="C19" i="242"/>
  <c r="G33" i="231"/>
  <c r="G32" i="231"/>
  <c r="E25" i="242"/>
  <c r="R24" i="242" l="1"/>
  <c r="O25" i="242"/>
  <c r="L23" i="242"/>
  <c r="D22" i="242"/>
  <c r="C21" i="242" s="1"/>
  <c r="G35" i="231"/>
  <c r="G34" i="231"/>
  <c r="E26" i="242"/>
  <c r="D23" i="242" l="1"/>
  <c r="D24" i="242" s="1"/>
  <c r="R25" i="242"/>
  <c r="O26" i="242"/>
  <c r="L24" i="242"/>
  <c r="G36" i="231"/>
  <c r="E27" i="242"/>
  <c r="C22" i="242"/>
  <c r="R26" i="242" l="1"/>
  <c r="O27" i="242"/>
  <c r="L25" i="242"/>
  <c r="G37" i="231"/>
  <c r="C23" i="242"/>
  <c r="D25" i="242"/>
  <c r="E28" i="242"/>
  <c r="R27" i="242" l="1"/>
  <c r="O28" i="242"/>
  <c r="L26" i="242"/>
  <c r="G38" i="231"/>
  <c r="C24" i="242"/>
  <c r="D26" i="242"/>
  <c r="E29" i="242"/>
  <c r="R28" i="242" l="1"/>
  <c r="O29" i="242"/>
  <c r="L27" i="242"/>
  <c r="G39" i="231"/>
  <c r="E30" i="242"/>
  <c r="C25" i="242"/>
  <c r="D27" i="242"/>
  <c r="R29" i="242" l="1"/>
  <c r="O30" i="242"/>
  <c r="L28" i="242"/>
  <c r="G40" i="231"/>
  <c r="C26" i="242"/>
  <c r="D28" i="242"/>
  <c r="E31" i="242"/>
  <c r="R30" i="242" l="1"/>
  <c r="O31" i="242"/>
  <c r="L29" i="242"/>
  <c r="G41" i="231"/>
  <c r="E32" i="242"/>
  <c r="C27" i="242"/>
  <c r="D29" i="242"/>
  <c r="R31" i="242" l="1"/>
  <c r="O32" i="242"/>
  <c r="L30" i="242"/>
  <c r="G42" i="231"/>
  <c r="C28" i="242"/>
  <c r="D30" i="242"/>
  <c r="E33" i="242"/>
  <c r="R32" i="242" l="1"/>
  <c r="O33" i="242"/>
  <c r="L31" i="242"/>
  <c r="G43" i="231"/>
  <c r="E34" i="242"/>
  <c r="C29" i="242"/>
  <c r="D31" i="242"/>
  <c r="R33" i="242" l="1"/>
  <c r="O34" i="242"/>
  <c r="L32" i="242"/>
  <c r="G44" i="231"/>
  <c r="C30" i="242"/>
  <c r="D32" i="242"/>
  <c r="E35" i="242"/>
  <c r="R34" i="242" l="1"/>
  <c r="O35" i="242"/>
  <c r="L33" i="242"/>
  <c r="G45" i="231"/>
  <c r="E36" i="242"/>
  <c r="C31" i="242"/>
  <c r="D33" i="242"/>
  <c r="R35" i="242" l="1"/>
  <c r="O36" i="242"/>
  <c r="L34" i="242"/>
  <c r="G46" i="231"/>
  <c r="C32" i="242"/>
  <c r="D34" i="242"/>
  <c r="E37" i="242"/>
  <c r="R36" i="242" l="1"/>
  <c r="O37" i="242"/>
  <c r="L35" i="242"/>
  <c r="G47" i="231"/>
  <c r="E38" i="242"/>
  <c r="C33" i="242"/>
  <c r="D35" i="242"/>
  <c r="R37" i="242" l="1"/>
  <c r="O38" i="242"/>
  <c r="L36" i="242"/>
  <c r="G48" i="231"/>
  <c r="E39" i="242"/>
  <c r="C34" i="242"/>
  <c r="D36" i="242"/>
  <c r="R38" i="242" l="1"/>
  <c r="O39" i="242"/>
  <c r="L37" i="242"/>
  <c r="G49" i="231"/>
  <c r="C35" i="242"/>
  <c r="D37" i="242"/>
  <c r="E40" i="242"/>
  <c r="R39" i="242" l="1"/>
  <c r="O40" i="242"/>
  <c r="L38" i="242"/>
  <c r="G50" i="231"/>
  <c r="E41" i="242"/>
  <c r="C36" i="242"/>
  <c r="D38" i="242"/>
  <c r="R40" i="242" l="1"/>
  <c r="O41" i="242"/>
  <c r="L39" i="242"/>
  <c r="G51" i="231"/>
  <c r="C37" i="242"/>
  <c r="D39" i="242"/>
  <c r="E42" i="242"/>
  <c r="R41" i="242" l="1"/>
  <c r="O42" i="242"/>
  <c r="L40" i="242"/>
  <c r="G52" i="231"/>
  <c r="E43" i="242"/>
  <c r="C38" i="242"/>
  <c r="D40" i="242"/>
  <c r="R42" i="242" l="1"/>
  <c r="O43" i="242"/>
  <c r="L41" i="242"/>
  <c r="G53" i="231"/>
  <c r="E44" i="242"/>
  <c r="C39" i="242"/>
  <c r="D41" i="242"/>
  <c r="R43" i="242" l="1"/>
  <c r="O44" i="242"/>
  <c r="L42" i="242"/>
  <c r="G54" i="231"/>
  <c r="C40" i="242"/>
  <c r="D42" i="242"/>
  <c r="E45" i="242"/>
  <c r="R44" i="242" l="1"/>
  <c r="O45" i="242"/>
  <c r="L43" i="242"/>
  <c r="G55" i="231"/>
  <c r="C41" i="242"/>
  <c r="D43" i="242"/>
  <c r="E46" i="242"/>
  <c r="R45" i="242" l="1"/>
  <c r="O46" i="242"/>
  <c r="L44" i="242"/>
  <c r="G56" i="231"/>
  <c r="E47" i="242"/>
  <c r="C42" i="242"/>
  <c r="D44" i="242"/>
  <c r="R46" i="242" l="1"/>
  <c r="O47" i="242"/>
  <c r="L45" i="242"/>
  <c r="G57" i="231"/>
  <c r="C43" i="242"/>
  <c r="D45" i="242"/>
  <c r="E48" i="242"/>
  <c r="R47" i="242" l="1"/>
  <c r="O48" i="242"/>
  <c r="L46" i="242"/>
  <c r="G58" i="231"/>
  <c r="E49" i="242"/>
  <c r="C44" i="242"/>
  <c r="D46" i="242"/>
  <c r="R48" i="242" l="1"/>
  <c r="O49" i="242"/>
  <c r="L47" i="242"/>
  <c r="G59" i="231"/>
  <c r="C45" i="242"/>
  <c r="D47" i="242"/>
  <c r="E50" i="242"/>
  <c r="R49" i="242" l="1"/>
  <c r="O50" i="242"/>
  <c r="L48" i="242"/>
  <c r="G60" i="231"/>
  <c r="E51" i="242"/>
  <c r="C46" i="242"/>
  <c r="D48" i="242"/>
  <c r="R50" i="242" l="1"/>
  <c r="O51" i="242"/>
  <c r="L49" i="242"/>
  <c r="G61" i="231"/>
  <c r="C47" i="242"/>
  <c r="D49" i="242"/>
  <c r="E52" i="242"/>
  <c r="O52" i="242" l="1"/>
  <c r="R51" i="242"/>
  <c r="L50" i="242"/>
  <c r="G62" i="231"/>
  <c r="C48" i="242"/>
  <c r="D50" i="242"/>
  <c r="E53" i="242"/>
  <c r="R52" i="242" l="1"/>
  <c r="O53" i="242"/>
  <c r="L51" i="242"/>
  <c r="G63" i="231"/>
  <c r="E54" i="242"/>
  <c r="C49" i="242"/>
  <c r="D51" i="242"/>
  <c r="O54" i="242" l="1"/>
  <c r="R53" i="242"/>
  <c r="L52" i="242"/>
  <c r="G64" i="231"/>
  <c r="C50" i="242"/>
  <c r="D52" i="242"/>
  <c r="E55" i="242"/>
  <c r="R54" i="242" l="1"/>
  <c r="O55" i="242"/>
  <c r="L53" i="242"/>
  <c r="G65" i="231"/>
  <c r="C51" i="242"/>
  <c r="D53" i="242"/>
  <c r="E56" i="242"/>
  <c r="R55" i="242" l="1"/>
  <c r="O56" i="242"/>
  <c r="L54" i="242"/>
  <c r="E57" i="242"/>
  <c r="C52" i="242"/>
  <c r="D54" i="242"/>
  <c r="R56" i="242" l="1"/>
  <c r="O57" i="242"/>
  <c r="L55" i="242"/>
  <c r="G66" i="231"/>
  <c r="E58" i="242"/>
  <c r="C53" i="242"/>
  <c r="D55" i="242"/>
  <c r="R57" i="242" l="1"/>
  <c r="O58" i="242"/>
  <c r="L56" i="242"/>
  <c r="G68" i="231"/>
  <c r="G67" i="231"/>
  <c r="C54" i="242"/>
  <c r="D56" i="242"/>
  <c r="E59" i="242"/>
  <c r="O59" i="242" l="1"/>
  <c r="R58" i="242"/>
  <c r="L57" i="242"/>
  <c r="C55" i="242"/>
  <c r="D57" i="242"/>
  <c r="E60" i="242"/>
  <c r="O60" i="242" l="1"/>
  <c r="R59" i="242"/>
  <c r="L58" i="242"/>
  <c r="G70" i="231"/>
  <c r="G69" i="231"/>
  <c r="C56" i="242"/>
  <c r="D58" i="242"/>
  <c r="E61" i="242"/>
  <c r="O61" i="242" l="1"/>
  <c r="R60" i="242"/>
  <c r="L59" i="242"/>
  <c r="E62" i="242"/>
  <c r="C57" i="242"/>
  <c r="D59" i="242"/>
  <c r="R61" i="242" l="1"/>
  <c r="O62" i="242"/>
  <c r="L60" i="242"/>
  <c r="G71" i="231"/>
  <c r="C58" i="242"/>
  <c r="D60" i="242"/>
  <c r="E63" i="242"/>
  <c r="R62" i="242" l="1"/>
  <c r="O63" i="242"/>
  <c r="L61" i="242"/>
  <c r="C59" i="242"/>
  <c r="D61" i="242"/>
  <c r="E64" i="242"/>
  <c r="O64" i="242" l="1"/>
  <c r="R63" i="242"/>
  <c r="L62" i="242"/>
  <c r="E65" i="242"/>
  <c r="C60" i="242"/>
  <c r="D62" i="242"/>
  <c r="R64" i="242" l="1"/>
  <c r="O65" i="242"/>
  <c r="L63" i="242"/>
  <c r="C61" i="242"/>
  <c r="D63" i="242"/>
  <c r="E66" i="242"/>
  <c r="R65" i="242" l="1"/>
  <c r="O66" i="242"/>
  <c r="L64" i="242"/>
  <c r="E67" i="242"/>
  <c r="C62" i="242"/>
  <c r="D64" i="242"/>
  <c r="O67" i="242" l="1"/>
  <c r="R66" i="242"/>
  <c r="L65" i="242"/>
  <c r="E68" i="242"/>
  <c r="C63" i="242"/>
  <c r="D65" i="242"/>
  <c r="R67" i="242" l="1"/>
  <c r="O68" i="242"/>
  <c r="L66" i="242"/>
  <c r="C64" i="242"/>
  <c r="D66" i="242"/>
  <c r="E69" i="242"/>
  <c r="R68" i="242" l="1"/>
  <c r="O69" i="242"/>
  <c r="L67" i="242"/>
  <c r="E70" i="242"/>
  <c r="C65" i="242"/>
  <c r="D67" i="242"/>
  <c r="R69" i="242" l="1"/>
  <c r="O70" i="242"/>
  <c r="L68" i="242"/>
  <c r="C66" i="242"/>
  <c r="D68" i="242"/>
  <c r="E71" i="242"/>
  <c r="R70" i="242" l="1"/>
  <c r="O71" i="242"/>
  <c r="L69" i="242"/>
  <c r="E72" i="242"/>
  <c r="C67" i="242"/>
  <c r="D69" i="242"/>
  <c r="O72" i="242" l="1"/>
  <c r="R71" i="242"/>
  <c r="L70" i="242"/>
  <c r="C68" i="242"/>
  <c r="D70" i="242"/>
  <c r="E73" i="242"/>
  <c r="R72" i="242" l="1"/>
  <c r="O73" i="242"/>
  <c r="L71" i="242"/>
  <c r="E74" i="242"/>
  <c r="C69" i="242"/>
  <c r="D71" i="242"/>
  <c r="O74" i="242" l="1"/>
  <c r="R73" i="242"/>
  <c r="L72" i="242"/>
  <c r="C70" i="242"/>
  <c r="D72" i="242"/>
  <c r="E75" i="242"/>
  <c r="R74" i="242" l="1"/>
  <c r="O75" i="242"/>
  <c r="L73" i="242"/>
  <c r="E76" i="242"/>
  <c r="C71" i="242"/>
  <c r="D73" i="242"/>
  <c r="O76" i="242" l="1"/>
  <c r="R75" i="242"/>
  <c r="L74" i="242"/>
  <c r="C72" i="242"/>
  <c r="D74" i="242"/>
  <c r="E77" i="242"/>
  <c r="R76" i="242" l="1"/>
  <c r="O77" i="242"/>
  <c r="L75" i="242"/>
  <c r="E78" i="242"/>
  <c r="C73" i="242"/>
  <c r="D75" i="242"/>
  <c r="R77" i="242" l="1"/>
  <c r="O78" i="242"/>
  <c r="L76" i="242"/>
  <c r="C74" i="242"/>
  <c r="D76" i="242"/>
  <c r="E79" i="242"/>
  <c r="O79" i="242" l="1"/>
  <c r="R78" i="242"/>
  <c r="L77" i="242"/>
  <c r="E80" i="242"/>
  <c r="C75" i="242"/>
  <c r="D77" i="242"/>
  <c r="O80" i="242" l="1"/>
  <c r="R79" i="242"/>
  <c r="L78" i="242"/>
  <c r="C76" i="242"/>
  <c r="D78" i="242"/>
  <c r="E81" i="242"/>
  <c r="O81" i="242" l="1"/>
  <c r="R80" i="242"/>
  <c r="L79" i="242"/>
  <c r="E82" i="242"/>
  <c r="C77" i="242"/>
  <c r="D79" i="242"/>
  <c r="O82" i="242" l="1"/>
  <c r="R81" i="242"/>
  <c r="L80" i="242"/>
  <c r="C78" i="242"/>
  <c r="D80" i="242"/>
  <c r="E83" i="242"/>
  <c r="R82" i="242" l="1"/>
  <c r="O83" i="242"/>
  <c r="L81" i="242"/>
  <c r="E84" i="242"/>
  <c r="C79" i="242"/>
  <c r="D81" i="242"/>
  <c r="O84" i="242" l="1"/>
  <c r="R83" i="242"/>
  <c r="L82" i="242"/>
  <c r="C80" i="242"/>
  <c r="D82" i="242"/>
  <c r="E85" i="242"/>
  <c r="O85" i="242" l="1"/>
  <c r="R84" i="242"/>
  <c r="L83" i="242"/>
  <c r="E86" i="242"/>
  <c r="C81" i="242"/>
  <c r="D83" i="242"/>
  <c r="R85" i="242" l="1"/>
  <c r="O86" i="242"/>
  <c r="L84" i="242"/>
  <c r="C82" i="242"/>
  <c r="D84" i="242"/>
  <c r="E87" i="242"/>
  <c r="O87" i="242" l="1"/>
  <c r="R86" i="242"/>
  <c r="L85" i="242"/>
  <c r="C83" i="242"/>
  <c r="D85" i="242"/>
  <c r="E88" i="242"/>
  <c r="O88" i="242" l="1"/>
  <c r="R87" i="242"/>
  <c r="L86" i="242"/>
  <c r="E89" i="242"/>
  <c r="C84" i="242"/>
  <c r="D86" i="242"/>
  <c r="R88" i="242" l="1"/>
  <c r="O89" i="242"/>
  <c r="L87" i="242"/>
  <c r="C85" i="242"/>
  <c r="D87" i="242"/>
  <c r="E90" i="242"/>
  <c r="R89" i="242" l="1"/>
  <c r="O90" i="242"/>
  <c r="L88" i="242"/>
  <c r="E91" i="242"/>
  <c r="C86" i="242"/>
  <c r="D88" i="242"/>
  <c r="O91" i="242" l="1"/>
  <c r="R90" i="242"/>
  <c r="L89" i="242"/>
  <c r="C87" i="242"/>
  <c r="D89" i="242"/>
  <c r="E92" i="242"/>
  <c r="O92" i="242" l="1"/>
  <c r="R91" i="242"/>
  <c r="L90" i="242"/>
  <c r="E93" i="242"/>
  <c r="C88" i="242"/>
  <c r="D90" i="242"/>
  <c r="O93" i="242" l="1"/>
  <c r="R92" i="242"/>
  <c r="L91" i="242"/>
  <c r="C89" i="242"/>
  <c r="D91" i="242"/>
  <c r="E94" i="242"/>
  <c r="O94" i="242" l="1"/>
  <c r="R93" i="242"/>
  <c r="L92" i="242"/>
  <c r="E95" i="242"/>
  <c r="C90" i="242"/>
  <c r="D92" i="242"/>
  <c r="R94" i="242" l="1"/>
  <c r="O95" i="242"/>
  <c r="L93" i="242"/>
  <c r="C91" i="242"/>
  <c r="D93" i="242"/>
  <c r="E96" i="242"/>
  <c r="O96" i="242" l="1"/>
  <c r="R95" i="242"/>
  <c r="L94" i="242"/>
  <c r="E97" i="242"/>
  <c r="C92" i="242"/>
  <c r="D94" i="242"/>
  <c r="R96" i="242" l="1"/>
  <c r="O97" i="242"/>
  <c r="L95" i="242"/>
  <c r="C93" i="242"/>
  <c r="D95" i="242"/>
  <c r="E98" i="242"/>
  <c r="O98" i="242" l="1"/>
  <c r="R97" i="242"/>
  <c r="L96" i="242"/>
  <c r="E99" i="242"/>
  <c r="C94" i="242"/>
  <c r="D96" i="242"/>
  <c r="O99" i="242" l="1"/>
  <c r="R98" i="242"/>
  <c r="L97" i="242"/>
  <c r="C95" i="242"/>
  <c r="D97" i="242"/>
  <c r="E100" i="242"/>
  <c r="R99" i="242" l="1"/>
  <c r="O100" i="242"/>
  <c r="L98" i="242"/>
  <c r="C96" i="242"/>
  <c r="D98" i="242"/>
  <c r="E101" i="242"/>
  <c r="R100" i="242" l="1"/>
  <c r="O101" i="242"/>
  <c r="L99" i="242"/>
  <c r="E102" i="242"/>
  <c r="C97" i="242"/>
  <c r="D99" i="242"/>
  <c r="O102" i="242" l="1"/>
  <c r="R101" i="242"/>
  <c r="L100" i="242"/>
  <c r="C98" i="242"/>
  <c r="D100" i="242"/>
  <c r="E103" i="242"/>
  <c r="O103" i="242" l="1"/>
  <c r="R102" i="242"/>
  <c r="L101" i="242"/>
  <c r="E104" i="242"/>
  <c r="C99" i="242"/>
  <c r="D101" i="242"/>
  <c r="O104" i="242" l="1"/>
  <c r="R103" i="242"/>
  <c r="L102" i="242"/>
  <c r="C100" i="242"/>
  <c r="D102" i="242"/>
  <c r="E105" i="242"/>
  <c r="O105" i="242" l="1"/>
  <c r="R104" i="242"/>
  <c r="L103" i="242"/>
  <c r="E106" i="242"/>
  <c r="C101" i="242"/>
  <c r="D103" i="242"/>
  <c r="R105" i="242" l="1"/>
  <c r="O106" i="242"/>
  <c r="L104" i="242"/>
  <c r="C102" i="242"/>
  <c r="D104" i="242"/>
  <c r="E107" i="242"/>
  <c r="O107" i="242" l="1"/>
  <c r="R106" i="242"/>
  <c r="L105" i="242"/>
  <c r="E108" i="242"/>
  <c r="C103" i="242"/>
  <c r="D105" i="242"/>
  <c r="O108" i="242" l="1"/>
  <c r="R107" i="242"/>
  <c r="L106" i="242"/>
  <c r="C104" i="242"/>
  <c r="D106" i="242"/>
  <c r="E109" i="242"/>
  <c r="O109" i="242" l="1"/>
  <c r="R108" i="242"/>
  <c r="L107" i="242"/>
  <c r="E110" i="242"/>
  <c r="C105" i="242"/>
  <c r="D107" i="242"/>
  <c r="O110" i="242" l="1"/>
  <c r="R109" i="242"/>
  <c r="L108" i="242"/>
  <c r="C106" i="242"/>
  <c r="D108" i="242"/>
  <c r="E111" i="242"/>
  <c r="O111" i="242" l="1"/>
  <c r="R110" i="242"/>
  <c r="L109" i="242"/>
  <c r="E112" i="242"/>
  <c r="C107" i="242"/>
  <c r="D109" i="242"/>
  <c r="O112" i="242" l="1"/>
  <c r="R111" i="242"/>
  <c r="L110" i="242"/>
  <c r="C108" i="242"/>
  <c r="D110" i="242"/>
  <c r="E113" i="242"/>
  <c r="O113" i="242" l="1"/>
  <c r="R112" i="242"/>
  <c r="L111" i="242"/>
  <c r="C109" i="242"/>
  <c r="D111" i="242"/>
  <c r="E114" i="242"/>
  <c r="O114" i="242" l="1"/>
  <c r="R113" i="242"/>
  <c r="L112" i="242"/>
  <c r="E115" i="242"/>
  <c r="C110" i="242"/>
  <c r="D112" i="242"/>
  <c r="R114" i="242" l="1"/>
  <c r="O115" i="242"/>
  <c r="L113" i="242"/>
  <c r="E116" i="242"/>
  <c r="C111" i="242"/>
  <c r="D113" i="242"/>
  <c r="O116" i="242" l="1"/>
  <c r="R115" i="242"/>
  <c r="L114" i="242"/>
  <c r="C112" i="242"/>
  <c r="D114" i="242"/>
  <c r="E117" i="242"/>
  <c r="R116" i="242" l="1"/>
  <c r="O117" i="242"/>
  <c r="L115" i="242"/>
  <c r="E118" i="242"/>
  <c r="C113" i="242"/>
  <c r="D115" i="242"/>
  <c r="O118" i="242" l="1"/>
  <c r="R117" i="242"/>
  <c r="L116" i="242"/>
  <c r="E119" i="242"/>
  <c r="C114" i="242"/>
  <c r="D116" i="242"/>
  <c r="O119" i="242" l="1"/>
  <c r="R118" i="242"/>
  <c r="L117" i="242"/>
  <c r="C115" i="242"/>
  <c r="D117" i="242"/>
  <c r="E120" i="242"/>
  <c r="O120" i="242" l="1"/>
  <c r="R119" i="242"/>
  <c r="L118" i="242"/>
  <c r="E121" i="242"/>
  <c r="C116" i="242"/>
  <c r="D118" i="242"/>
  <c r="O121" i="242" l="1"/>
  <c r="R120" i="242"/>
  <c r="L119" i="242"/>
  <c r="E122" i="242"/>
  <c r="C117" i="242"/>
  <c r="D119" i="242"/>
  <c r="O122" i="242" l="1"/>
  <c r="R121" i="242"/>
  <c r="L120" i="242"/>
  <c r="C118" i="242"/>
  <c r="D120" i="242"/>
  <c r="E123" i="242"/>
  <c r="O123" i="242" l="1"/>
  <c r="R122" i="242"/>
  <c r="L121" i="242"/>
  <c r="E124" i="242"/>
  <c r="C119" i="242"/>
  <c r="D121" i="242"/>
  <c r="O124" i="242" l="1"/>
  <c r="R123" i="242"/>
  <c r="L122" i="242"/>
  <c r="C120" i="242"/>
  <c r="D122" i="242"/>
  <c r="L123" i="242" l="1"/>
  <c r="C121" i="242"/>
  <c r="D123" i="242"/>
  <c r="L124" i="242" l="1"/>
  <c r="C122" i="242"/>
  <c r="D124" i="242"/>
  <c r="C124" i="242" s="1"/>
  <c r="R124" i="242" l="1"/>
  <c r="R7" i="242" s="1"/>
  <c r="C123" i="242"/>
  <c r="L8" i="213" l="1"/>
  <c r="I6" i="213" l="1"/>
  <c r="K6" i="213"/>
  <c r="I8" i="213"/>
  <c r="K8" i="213"/>
  <c r="M8" i="213" l="1"/>
  <c r="P8" i="213"/>
  <c r="L6" i="213" l="1"/>
  <c r="O8" i="213"/>
  <c r="N8" i="213"/>
  <c r="F14" i="231" l="1"/>
  <c r="P6" i="213"/>
  <c r="M6" i="213"/>
  <c r="N6" i="213"/>
  <c r="M9" i="213" l="1"/>
  <c r="F12" i="231"/>
  <c r="P9" i="213"/>
  <c r="O6" i="213"/>
  <c r="O9" i="213" l="1"/>
  <c r="I12" i="231"/>
  <c r="J12" i="231" s="1"/>
  <c r="I14" i="231"/>
  <c r="J14" i="231" s="1"/>
  <c r="H12" i="231"/>
  <c r="D12" i="231"/>
  <c r="D14" i="231"/>
  <c r="C14" i="231"/>
  <c r="B26" i="231"/>
  <c r="B27" i="231" s="1"/>
  <c r="M23" i="231"/>
  <c r="L23" i="231"/>
  <c r="I28" i="231"/>
  <c r="L10" i="231"/>
  <c r="I24" i="231" s="1"/>
  <c r="N9" i="231"/>
  <c r="O9" i="231" s="1"/>
  <c r="P9" i="231" s="1"/>
  <c r="Q9" i="231" s="1"/>
  <c r="R9" i="231" s="1"/>
  <c r="S9" i="231" s="1"/>
  <c r="T9" i="231" s="1"/>
  <c r="U9" i="231" s="1"/>
  <c r="V9" i="231" s="1"/>
  <c r="W9" i="231" s="1"/>
  <c r="X9" i="231" s="1"/>
  <c r="Y9" i="231" s="1"/>
  <c r="Z9" i="231" s="1"/>
  <c r="AA9" i="231" s="1"/>
  <c r="AB9" i="231" s="1"/>
  <c r="AC9" i="231" s="1"/>
  <c r="AD9" i="231" s="1"/>
  <c r="AE9" i="231" s="1"/>
  <c r="AF9" i="231" s="1"/>
  <c r="AG9" i="231" s="1"/>
  <c r="AH9" i="231" s="1"/>
  <c r="AI9" i="231" s="1"/>
  <c r="AJ9" i="231" s="1"/>
  <c r="AK9" i="231" s="1"/>
  <c r="AL9" i="231" s="1"/>
  <c r="AM9" i="231" s="1"/>
  <c r="AN9" i="231" s="1"/>
  <c r="AO9" i="231" s="1"/>
  <c r="AP9" i="231" s="1"/>
  <c r="AQ9" i="231" s="1"/>
  <c r="AR9" i="231" s="1"/>
  <c r="AS9" i="231" s="1"/>
  <c r="AT9" i="231" s="1"/>
  <c r="AU9" i="231" s="1"/>
  <c r="AV9" i="231" s="1"/>
  <c r="AW9" i="231" s="1"/>
  <c r="AX9" i="231" s="1"/>
  <c r="AY9" i="231" s="1"/>
  <c r="AZ9" i="231" s="1"/>
  <c r="BA9" i="231" s="1"/>
  <c r="BB9" i="231" s="1"/>
  <c r="BC9" i="231" s="1"/>
  <c r="BD9" i="231" s="1"/>
  <c r="BE9" i="231" s="1"/>
  <c r="BF9" i="231" s="1"/>
  <c r="BG9" i="231" s="1"/>
  <c r="BH9" i="231" s="1"/>
  <c r="BI9" i="231" s="1"/>
  <c r="BJ9" i="231" s="1"/>
  <c r="BK9" i="231" s="1"/>
  <c r="BL9" i="231" s="1"/>
  <c r="BM9" i="231" s="1"/>
  <c r="BN9" i="231" s="1"/>
  <c r="BO9" i="231" s="1"/>
  <c r="BP9" i="231" s="1"/>
  <c r="BQ9" i="231" s="1"/>
  <c r="BR9" i="231" s="1"/>
  <c r="BS9" i="231" s="1"/>
  <c r="K10" i="231"/>
  <c r="J28" i="231" l="1"/>
  <c r="I29" i="231"/>
  <c r="I30" i="231" s="1"/>
  <c r="I31" i="231" s="1"/>
  <c r="I32" i="231" s="1"/>
  <c r="I33" i="231" s="1"/>
  <c r="I34" i="231" s="1"/>
  <c r="I35" i="231" s="1"/>
  <c r="I36" i="231" s="1"/>
  <c r="I37" i="231" s="1"/>
  <c r="I38" i="231" s="1"/>
  <c r="I39" i="231" s="1"/>
  <c r="I40" i="231" s="1"/>
  <c r="I41" i="231" s="1"/>
  <c r="I42" i="231" s="1"/>
  <c r="I43" i="231" s="1"/>
  <c r="I44" i="231" s="1"/>
  <c r="I45" i="231" s="1"/>
  <c r="M10" i="231"/>
  <c r="M13" i="231" s="1"/>
  <c r="E12" i="231"/>
  <c r="L14" i="231"/>
  <c r="K12" i="231"/>
  <c r="E14" i="231"/>
  <c r="L12" i="231"/>
  <c r="B28" i="231"/>
  <c r="F10" i="231"/>
  <c r="G10" i="231"/>
  <c r="H10" i="231"/>
  <c r="M14" i="231" l="1"/>
  <c r="N10" i="231"/>
  <c r="N13" i="231" s="1"/>
  <c r="M12" i="231"/>
  <c r="D5" i="217"/>
  <c r="L15" i="231"/>
  <c r="B29" i="231"/>
  <c r="M15" i="231" l="1"/>
  <c r="N12" i="231"/>
  <c r="O10" i="231"/>
  <c r="O13" i="231" s="1"/>
  <c r="J29" i="231"/>
  <c r="N11" i="231"/>
  <c r="N14" i="231"/>
  <c r="O14" i="231"/>
  <c r="B30" i="231"/>
  <c r="N15" i="231" l="1"/>
  <c r="F28" i="231" s="1"/>
  <c r="K28" i="231" s="1"/>
  <c r="P10" i="231"/>
  <c r="P13" i="231" s="1"/>
  <c r="P14" i="231"/>
  <c r="Q10" i="231"/>
  <c r="Q13" i="231" s="1"/>
  <c r="B31" i="231"/>
  <c r="J30" i="231"/>
  <c r="B32" i="231" l="1"/>
  <c r="J31" i="231"/>
  <c r="Q14" i="231"/>
  <c r="R10" i="231"/>
  <c r="R13" i="231" s="1"/>
  <c r="B33" i="231" l="1"/>
  <c r="J32" i="231"/>
  <c r="R14" i="231"/>
  <c r="S10" i="231"/>
  <c r="S13" i="231" s="1"/>
  <c r="T10" i="231" l="1"/>
  <c r="T13" i="231" s="1"/>
  <c r="B34" i="231"/>
  <c r="J33" i="231"/>
  <c r="B35" i="231" l="1"/>
  <c r="J34" i="231"/>
  <c r="T12" i="231"/>
  <c r="U10" i="231"/>
  <c r="U13" i="231" s="1"/>
  <c r="U12" i="231" l="1"/>
  <c r="V10" i="231"/>
  <c r="V13" i="231" s="1"/>
  <c r="B36" i="231"/>
  <c r="J35" i="231"/>
  <c r="J36" i="231" l="1"/>
  <c r="B37" i="231"/>
  <c r="V12" i="231"/>
  <c r="W10" i="231"/>
  <c r="W13" i="231" s="1"/>
  <c r="B38" i="231" l="1"/>
  <c r="J37" i="231"/>
  <c r="W14" i="231"/>
  <c r="W12" i="231"/>
  <c r="X10" i="231"/>
  <c r="X13" i="231" s="1"/>
  <c r="X14" i="231" l="1"/>
  <c r="X12" i="231"/>
  <c r="Y10" i="231"/>
  <c r="Y13" i="231" s="1"/>
  <c r="W15" i="231"/>
  <c r="J38" i="231"/>
  <c r="B39" i="231"/>
  <c r="X15" i="231" l="1"/>
  <c r="Z10" i="231"/>
  <c r="Z13" i="231" s="1"/>
  <c r="Y14" i="231"/>
  <c r="Y12" i="231"/>
  <c r="B40" i="231"/>
  <c r="J39" i="231"/>
  <c r="J40" i="231" l="1"/>
  <c r="B41" i="231"/>
  <c r="Z14" i="231"/>
  <c r="Z12" i="231"/>
  <c r="AA10" i="231"/>
  <c r="AA13" i="231" s="1"/>
  <c r="Y15" i="231"/>
  <c r="F39" i="231" s="1"/>
  <c r="Z15" i="231" l="1"/>
  <c r="F40" i="231" s="1"/>
  <c r="B42" i="231"/>
  <c r="J41" i="231"/>
  <c r="AA14" i="231"/>
  <c r="AA12" i="231"/>
  <c r="AB10" i="231"/>
  <c r="AB13" i="231" s="1"/>
  <c r="AA15" i="231" l="1"/>
  <c r="F41" i="231" s="1"/>
  <c r="B43" i="231"/>
  <c r="J42" i="231"/>
  <c r="AB14" i="231"/>
  <c r="AB12" i="231"/>
  <c r="AC10" i="231"/>
  <c r="AC13" i="231" s="1"/>
  <c r="AC14" i="231" l="1"/>
  <c r="AC12" i="231"/>
  <c r="AD10" i="231"/>
  <c r="AD13" i="231" s="1"/>
  <c r="B44" i="231"/>
  <c r="J43" i="231"/>
  <c r="AB15" i="231"/>
  <c r="F42" i="231" s="1"/>
  <c r="B45" i="231" l="1"/>
  <c r="J44" i="231"/>
  <c r="AC15" i="231"/>
  <c r="F43" i="231" s="1"/>
  <c r="AD14" i="231"/>
  <c r="AD12" i="231"/>
  <c r="AE10" i="231"/>
  <c r="AE13" i="231" s="1"/>
  <c r="AD15" i="231" l="1"/>
  <c r="F44" i="231" s="1"/>
  <c r="AE12" i="231"/>
  <c r="AF10" i="231"/>
  <c r="AF13" i="231" s="1"/>
  <c r="AE14" i="231"/>
  <c r="J45" i="231"/>
  <c r="B46" i="231"/>
  <c r="AF12" i="231" l="1"/>
  <c r="AG10" i="231"/>
  <c r="AG13" i="231" s="1"/>
  <c r="AF14" i="231"/>
  <c r="AE15" i="231"/>
  <c r="F45" i="231" s="1"/>
  <c r="B47" i="231"/>
  <c r="J46" i="231"/>
  <c r="H14" i="231" l="1"/>
  <c r="K14" i="231" s="1"/>
  <c r="K15" i="231" s="1"/>
  <c r="F15" i="231"/>
  <c r="J47" i="231"/>
  <c r="B48" i="231"/>
  <c r="AG12" i="231"/>
  <c r="AH10" i="231"/>
  <c r="AH13" i="231" s="1"/>
  <c r="AG14" i="231"/>
  <c r="AF15" i="231"/>
  <c r="F46" i="231" s="1"/>
  <c r="AI10" i="231" l="1"/>
  <c r="AI13" i="231" s="1"/>
  <c r="AH12" i="231"/>
  <c r="AH14" i="231"/>
  <c r="B49" i="231"/>
  <c r="J48" i="231"/>
  <c r="AG15" i="231"/>
  <c r="F47" i="231" s="1"/>
  <c r="L28" i="231" l="1"/>
  <c r="AH15" i="231"/>
  <c r="F48" i="231" s="1"/>
  <c r="J49" i="231"/>
  <c r="B50" i="231"/>
  <c r="AJ10" i="231"/>
  <c r="AJ13" i="231" s="1"/>
  <c r="AI12" i="231"/>
  <c r="AI14" i="231"/>
  <c r="M28" i="231" l="1"/>
  <c r="N28" i="231" s="1"/>
  <c r="C29" i="231" s="1"/>
  <c r="AI15" i="231"/>
  <c r="F49" i="231" s="1"/>
  <c r="AJ12" i="231"/>
  <c r="AK10" i="231"/>
  <c r="AK13" i="231" s="1"/>
  <c r="AJ14" i="231"/>
  <c r="B51" i="231"/>
  <c r="J50" i="231"/>
  <c r="M6" i="231" l="1"/>
  <c r="J51" i="231"/>
  <c r="B52" i="231"/>
  <c r="AL10" i="231"/>
  <c r="AL13" i="231" s="1"/>
  <c r="AK12" i="231"/>
  <c r="AK14" i="231"/>
  <c r="AJ15" i="231"/>
  <c r="F50" i="231" s="1"/>
  <c r="N6" i="231" l="1"/>
  <c r="O6" i="231" s="1"/>
  <c r="AK15" i="231"/>
  <c r="F51" i="231" s="1"/>
  <c r="AM10" i="231"/>
  <c r="AM13" i="231" s="1"/>
  <c r="AL14" i="231"/>
  <c r="AL12" i="231"/>
  <c r="B53" i="231"/>
  <c r="J52" i="231"/>
  <c r="P6" i="231" l="1"/>
  <c r="P12" i="231" s="1"/>
  <c r="P15" i="231" s="1"/>
  <c r="F30" i="231" s="1"/>
  <c r="O12" i="231"/>
  <c r="O15" i="231" s="1"/>
  <c r="F29" i="231" s="1"/>
  <c r="K29" i="231" s="1"/>
  <c r="B54" i="231"/>
  <c r="J53" i="231"/>
  <c r="AL15" i="231"/>
  <c r="F52" i="231" s="1"/>
  <c r="AM14" i="231"/>
  <c r="AN10" i="231"/>
  <c r="AN13" i="231" s="1"/>
  <c r="AM12" i="231"/>
  <c r="Q6" i="231" l="1"/>
  <c r="R6" i="231" s="1"/>
  <c r="S6" i="231" s="1"/>
  <c r="S14" i="231" s="1"/>
  <c r="M29" i="231"/>
  <c r="L29" i="231"/>
  <c r="R12" i="231"/>
  <c r="R15" i="231" s="1"/>
  <c r="F32" i="231" s="1"/>
  <c r="AM15" i="231"/>
  <c r="F53" i="231" s="1"/>
  <c r="AN14" i="231"/>
  <c r="AO10" i="231"/>
  <c r="AO13" i="231" s="1"/>
  <c r="AN12" i="231"/>
  <c r="B55" i="231"/>
  <c r="J54" i="231"/>
  <c r="Q12" i="231" l="1"/>
  <c r="Q15" i="231" s="1"/>
  <c r="F31" i="231" s="1"/>
  <c r="N29" i="231"/>
  <c r="C30" i="231" s="1"/>
  <c r="K30" i="231" s="1"/>
  <c r="L30" i="231" s="1"/>
  <c r="AN15" i="231"/>
  <c r="F54" i="231" s="1"/>
  <c r="T6" i="231"/>
  <c r="S12" i="231"/>
  <c r="S15" i="231" s="1"/>
  <c r="B56" i="231"/>
  <c r="J55" i="231"/>
  <c r="AO14" i="231"/>
  <c r="AP10" i="231"/>
  <c r="AP13" i="231" s="1"/>
  <c r="AO12" i="231"/>
  <c r="M30" i="231" l="1"/>
  <c r="N30" i="231" s="1"/>
  <c r="C31" i="231" s="1"/>
  <c r="K31" i="231" s="1"/>
  <c r="M31" i="231" s="1"/>
  <c r="U6" i="231"/>
  <c r="V6" i="231" s="1"/>
  <c r="T14" i="231"/>
  <c r="T15" i="231" s="1"/>
  <c r="F33" i="231"/>
  <c r="F34" i="231"/>
  <c r="AO15" i="231"/>
  <c r="F55" i="231" s="1"/>
  <c r="AP14" i="231"/>
  <c r="AP12" i="231"/>
  <c r="AQ10" i="231"/>
  <c r="AQ13" i="231" s="1"/>
  <c r="J56" i="231"/>
  <c r="B57" i="231"/>
  <c r="L31" i="231" l="1"/>
  <c r="N31" i="231" s="1"/>
  <c r="C32" i="231" s="1"/>
  <c r="K32" i="231" s="1"/>
  <c r="L32" i="231" s="1"/>
  <c r="U14" i="231"/>
  <c r="U15" i="231" s="1"/>
  <c r="F35" i="231" s="1"/>
  <c r="W6" i="231"/>
  <c r="X6" i="231" s="1"/>
  <c r="Y6" i="231" s="1"/>
  <c r="Z6" i="231" s="1"/>
  <c r="AA6" i="231" s="1"/>
  <c r="AB6" i="231" s="1"/>
  <c r="AC6" i="231" s="1"/>
  <c r="AD6" i="231" s="1"/>
  <c r="AE6" i="231" s="1"/>
  <c r="AF6" i="231" s="1"/>
  <c r="AG6" i="231" s="1"/>
  <c r="AH6" i="231" s="1"/>
  <c r="AI6" i="231" s="1"/>
  <c r="AJ6" i="231" s="1"/>
  <c r="AK6" i="231" s="1"/>
  <c r="AL6" i="231" s="1"/>
  <c r="AM6" i="231" s="1"/>
  <c r="AN6" i="231" s="1"/>
  <c r="AO6" i="231" s="1"/>
  <c r="AP6" i="231" s="1"/>
  <c r="AQ6" i="231" s="1"/>
  <c r="AR6" i="231" s="1"/>
  <c r="AS6" i="231" s="1"/>
  <c r="AT6" i="231" s="1"/>
  <c r="AU6" i="231" s="1"/>
  <c r="AV6" i="231" s="1"/>
  <c r="AW6" i="231" s="1"/>
  <c r="AX6" i="231" s="1"/>
  <c r="AY6" i="231" s="1"/>
  <c r="AZ6" i="231" s="1"/>
  <c r="BA6" i="231" s="1"/>
  <c r="BB6" i="231" s="1"/>
  <c r="BC6" i="231" s="1"/>
  <c r="BD6" i="231" s="1"/>
  <c r="BE6" i="231" s="1"/>
  <c r="BF6" i="231" s="1"/>
  <c r="BG6" i="231" s="1"/>
  <c r="BH6" i="231" s="1"/>
  <c r="BI6" i="231" s="1"/>
  <c r="BJ6" i="231" s="1"/>
  <c r="BK6" i="231" s="1"/>
  <c r="BL6" i="231" s="1"/>
  <c r="BM6" i="231" s="1"/>
  <c r="BN6" i="231" s="1"/>
  <c r="BO6" i="231" s="1"/>
  <c r="BP6" i="231" s="1"/>
  <c r="BQ6" i="231" s="1"/>
  <c r="BR6" i="231" s="1"/>
  <c r="BS6" i="231" s="1"/>
  <c r="V14" i="231"/>
  <c r="V15" i="231" s="1"/>
  <c r="F38" i="231" s="1"/>
  <c r="AP15" i="231"/>
  <c r="F56" i="231" s="1"/>
  <c r="J57" i="231"/>
  <c r="B58" i="231"/>
  <c r="AQ14" i="231"/>
  <c r="AQ12" i="231"/>
  <c r="AR10" i="231"/>
  <c r="AR13" i="231" s="1"/>
  <c r="M32" i="231" l="1"/>
  <c r="N32" i="231" s="1"/>
  <c r="C33" i="231" s="1"/>
  <c r="K33" i="231" s="1"/>
  <c r="M33" i="231" s="1"/>
  <c r="F36" i="231"/>
  <c r="F37" i="231"/>
  <c r="AQ15" i="231"/>
  <c r="F57" i="231" s="1"/>
  <c r="AR12" i="231"/>
  <c r="AR14" i="231"/>
  <c r="AS10" i="231"/>
  <c r="AS13" i="231" s="1"/>
  <c r="J58" i="231"/>
  <c r="B59" i="231"/>
  <c r="L33" i="231" l="1"/>
  <c r="N33" i="231" s="1"/>
  <c r="C34" i="231" s="1"/>
  <c r="K34" i="231" s="1"/>
  <c r="AS12" i="231"/>
  <c r="AS14" i="231"/>
  <c r="AT10" i="231"/>
  <c r="AT13" i="231" s="1"/>
  <c r="AR15" i="231"/>
  <c r="F58" i="231" s="1"/>
  <c r="B60" i="231"/>
  <c r="J59" i="231"/>
  <c r="L34" i="231" l="1"/>
  <c r="M34" i="231"/>
  <c r="AS15" i="231"/>
  <c r="F59" i="231" s="1"/>
  <c r="J60" i="231"/>
  <c r="B61" i="231"/>
  <c r="AU10" i="231"/>
  <c r="AU13" i="231" s="1"/>
  <c r="AT14" i="231"/>
  <c r="AT12" i="231"/>
  <c r="N34" i="231" l="1"/>
  <c r="C35" i="231" s="1"/>
  <c r="K35" i="231" s="1"/>
  <c r="M35" i="231" s="1"/>
  <c r="L35" i="231"/>
  <c r="N35" i="231" s="1"/>
  <c r="C36" i="231" s="1"/>
  <c r="K36" i="231" s="1"/>
  <c r="L36" i="231" s="1"/>
  <c r="AT15" i="231"/>
  <c r="F60" i="231" s="1"/>
  <c r="AV10" i="231"/>
  <c r="AV13" i="231" s="1"/>
  <c r="AU14" i="231"/>
  <c r="AU12" i="231"/>
  <c r="B62" i="231"/>
  <c r="J61" i="231"/>
  <c r="B63" i="231" l="1"/>
  <c r="M36" i="231"/>
  <c r="N36" i="231" s="1"/>
  <c r="C37" i="231" s="1"/>
  <c r="K37" i="231" s="1"/>
  <c r="L37" i="231" s="1"/>
  <c r="AU15" i="231"/>
  <c r="J62" i="231"/>
  <c r="AV14" i="231"/>
  <c r="AV12" i="231"/>
  <c r="AW10" i="231"/>
  <c r="AW13" i="231" s="1"/>
  <c r="B64" i="231" l="1"/>
  <c r="F61" i="231"/>
  <c r="F63" i="231"/>
  <c r="J63" i="231"/>
  <c r="M37" i="231"/>
  <c r="N37" i="231" s="1"/>
  <c r="C38" i="231" s="1"/>
  <c r="K38" i="231" s="1"/>
  <c r="AW14" i="231"/>
  <c r="AW12" i="231"/>
  <c r="AX10" i="231"/>
  <c r="AX13" i="231" s="1"/>
  <c r="AV15" i="231"/>
  <c r="B65" i="231" l="1"/>
  <c r="F62" i="231"/>
  <c r="F64" i="231"/>
  <c r="J64" i="231"/>
  <c r="L38" i="231"/>
  <c r="M38" i="231"/>
  <c r="AX14" i="231"/>
  <c r="AX12" i="231"/>
  <c r="AY10" i="231"/>
  <c r="AY13" i="231" s="1"/>
  <c r="AW15" i="231"/>
  <c r="F65" i="231" s="1"/>
  <c r="B66" i="231" l="1"/>
  <c r="J65" i="231"/>
  <c r="N38" i="231"/>
  <c r="C39" i="231" s="1"/>
  <c r="K39" i="231" s="1"/>
  <c r="L39" i="231" s="1"/>
  <c r="AX15" i="231"/>
  <c r="AY14" i="231"/>
  <c r="AY12" i="231"/>
  <c r="AZ10" i="231"/>
  <c r="AZ13" i="231" s="1"/>
  <c r="F66" i="231" l="1"/>
  <c r="B67" i="231"/>
  <c r="J66" i="231"/>
  <c r="AY15" i="231"/>
  <c r="M39" i="231"/>
  <c r="N39" i="231" s="1"/>
  <c r="C40" i="231" s="1"/>
  <c r="K40" i="231" s="1"/>
  <c r="L40" i="231" s="1"/>
  <c r="AZ14" i="231"/>
  <c r="AZ12" i="231"/>
  <c r="BA10" i="231"/>
  <c r="BA13" i="231" s="1"/>
  <c r="F67" i="231" l="1"/>
  <c r="B68" i="231"/>
  <c r="J67" i="231"/>
  <c r="M40" i="231"/>
  <c r="N40" i="231" s="1"/>
  <c r="C41" i="231" s="1"/>
  <c r="K41" i="231" s="1"/>
  <c r="M41" i="231" s="1"/>
  <c r="BA12" i="231"/>
  <c r="BB10" i="231"/>
  <c r="BB13" i="231" s="1"/>
  <c r="BA14" i="231"/>
  <c r="AZ15" i="231"/>
  <c r="F68" i="231" l="1"/>
  <c r="J68" i="231"/>
  <c r="B69" i="231"/>
  <c r="L41" i="231"/>
  <c r="N41" i="231" s="1"/>
  <c r="C42" i="231" s="1"/>
  <c r="K42" i="231" s="1"/>
  <c r="BB12" i="231"/>
  <c r="BC10" i="231"/>
  <c r="BC13" i="231" s="1"/>
  <c r="BB14" i="231"/>
  <c r="BA15" i="231"/>
  <c r="F69" i="231" l="1"/>
  <c r="J69" i="231"/>
  <c r="B70" i="231"/>
  <c r="L42" i="231"/>
  <c r="M42" i="231"/>
  <c r="BB15" i="231"/>
  <c r="BC12" i="231"/>
  <c r="BD10" i="231"/>
  <c r="BD13" i="231" s="1"/>
  <c r="BC14" i="231"/>
  <c r="F70" i="231" l="1"/>
  <c r="J70" i="231"/>
  <c r="B71" i="231"/>
  <c r="N42" i="231"/>
  <c r="C43" i="231" s="1"/>
  <c r="K43" i="231" s="1"/>
  <c r="L43" i="231" s="1"/>
  <c r="BE10" i="231"/>
  <c r="BE13" i="231" s="1"/>
  <c r="BD12" i="231"/>
  <c r="BD14" i="231"/>
  <c r="BC15" i="231"/>
  <c r="F71" i="231" l="1"/>
  <c r="J71" i="231"/>
  <c r="M43" i="231"/>
  <c r="N43" i="231" s="1"/>
  <c r="C44" i="231" s="1"/>
  <c r="K44" i="231" s="1"/>
  <c r="L44" i="231" s="1"/>
  <c r="BF10" i="231"/>
  <c r="BF13" i="231" s="1"/>
  <c r="BE14" i="231"/>
  <c r="BE12" i="231"/>
  <c r="BD15" i="231"/>
  <c r="M44" i="231" l="1"/>
  <c r="N44" i="231" s="1"/>
  <c r="C45" i="231" s="1"/>
  <c r="K45" i="231" s="1"/>
  <c r="BE15" i="231"/>
  <c r="BF12" i="231"/>
  <c r="BG10" i="231"/>
  <c r="BG13" i="231" s="1"/>
  <c r="BF14" i="231"/>
  <c r="M45" i="231" l="1"/>
  <c r="L45" i="231"/>
  <c r="BF15" i="231"/>
  <c r="BH10" i="231"/>
  <c r="BH13" i="231" s="1"/>
  <c r="BG14" i="231"/>
  <c r="BG12" i="231"/>
  <c r="N45" i="231" l="1"/>
  <c r="C46" i="231" s="1"/>
  <c r="K46" i="231" s="1"/>
  <c r="M46" i="231" s="1"/>
  <c r="BG15" i="231"/>
  <c r="BH14" i="231"/>
  <c r="BI10" i="231"/>
  <c r="BI13" i="231" s="1"/>
  <c r="BH12" i="231"/>
  <c r="L46" i="231" l="1"/>
  <c r="N46" i="231" s="1"/>
  <c r="C47" i="231" s="1"/>
  <c r="K47" i="231" s="1"/>
  <c r="BH15" i="231"/>
  <c r="BI14" i="231"/>
  <c r="BJ10" i="231"/>
  <c r="BJ13" i="231" s="1"/>
  <c r="BI12" i="231"/>
  <c r="M47" i="231" l="1"/>
  <c r="L47" i="231"/>
  <c r="BI15" i="231"/>
  <c r="BJ14" i="231"/>
  <c r="BJ12" i="231"/>
  <c r="BK10" i="231"/>
  <c r="BK13" i="231" s="1"/>
  <c r="N47" i="231" l="1"/>
  <c r="C48" i="231" s="1"/>
  <c r="K48" i="231" s="1"/>
  <c r="BJ15" i="231"/>
  <c r="BK14" i="231"/>
  <c r="BK12" i="231"/>
  <c r="BL10" i="231"/>
  <c r="BL13" i="231" s="1"/>
  <c r="L48" i="231" l="1"/>
  <c r="M48" i="231"/>
  <c r="BK15" i="231"/>
  <c r="BL14" i="231"/>
  <c r="BL12" i="231"/>
  <c r="BM10" i="231"/>
  <c r="BM13" i="231" s="1"/>
  <c r="N48" i="231" l="1"/>
  <c r="C49" i="231" s="1"/>
  <c r="K49" i="231" s="1"/>
  <c r="L49" i="231"/>
  <c r="M49" i="231"/>
  <c r="BL15" i="231"/>
  <c r="BM14" i="231"/>
  <c r="BM12" i="231"/>
  <c r="BN10" i="231"/>
  <c r="BN13" i="231" s="1"/>
  <c r="BM15" i="231" l="1"/>
  <c r="N49" i="231"/>
  <c r="C50" i="231" s="1"/>
  <c r="K50" i="231" s="1"/>
  <c r="M50" i="231" s="1"/>
  <c r="BN12" i="231"/>
  <c r="BN14" i="231"/>
  <c r="BO10" i="231"/>
  <c r="BO13" i="231" s="1"/>
  <c r="L50" i="231" l="1"/>
  <c r="BO12" i="231"/>
  <c r="BO14" i="231"/>
  <c r="BP10" i="231"/>
  <c r="BP13" i="231" s="1"/>
  <c r="BN15" i="231"/>
  <c r="N50" i="231" l="1"/>
  <c r="C51" i="231" s="1"/>
  <c r="K51" i="231" s="1"/>
  <c r="BO15" i="231"/>
  <c r="BQ10" i="231"/>
  <c r="BQ13" i="231" s="1"/>
  <c r="BP14" i="231"/>
  <c r="BP12" i="231"/>
  <c r="M51" i="231" l="1"/>
  <c r="L51" i="231"/>
  <c r="BP15" i="231"/>
  <c r="BR10" i="231"/>
  <c r="BR13" i="231" s="1"/>
  <c r="BQ14" i="231"/>
  <c r="BQ12" i="231"/>
  <c r="N51" i="231" l="1"/>
  <c r="C52" i="231" s="1"/>
  <c r="K52" i="231" s="1"/>
  <c r="M52" i="231" s="1"/>
  <c r="BQ15" i="231"/>
  <c r="BR14" i="231"/>
  <c r="BR12" i="231"/>
  <c r="BS10" i="231"/>
  <c r="BS13" i="231" s="1"/>
  <c r="BR15" i="231" l="1"/>
  <c r="L52" i="231"/>
  <c r="N52" i="231" s="1"/>
  <c r="C53" i="231" s="1"/>
  <c r="K53" i="231" s="1"/>
  <c r="M53" i="231" s="1"/>
  <c r="BS14" i="231"/>
  <c r="BS12" i="231"/>
  <c r="L53" i="231" l="1"/>
  <c r="N53" i="231" s="1"/>
  <c r="C54" i="231" s="1"/>
  <c r="K54" i="231" s="1"/>
  <c r="L54" i="231" s="1"/>
  <c r="BS15" i="231"/>
  <c r="M54" i="231" l="1"/>
  <c r="N54" i="231" s="1"/>
  <c r="C55" i="231" l="1"/>
  <c r="K55" i="231" s="1"/>
  <c r="L55" i="231" s="1"/>
  <c r="M55" i="231" l="1"/>
  <c r="N55" i="231" s="1"/>
  <c r="C56" i="231" l="1"/>
  <c r="K56" i="231" s="1"/>
  <c r="M56" i="231" s="1"/>
  <c r="L56" i="231" l="1"/>
  <c r="N56" i="231" s="1"/>
  <c r="C57" i="231" s="1"/>
  <c r="K57" i="231" s="1"/>
  <c r="M57" i="231" s="1"/>
  <c r="L57" i="231" l="1"/>
  <c r="N57" i="231" s="1"/>
  <c r="C58" i="231" s="1"/>
  <c r="K58" i="231" s="1"/>
  <c r="M58" i="231" s="1"/>
  <c r="L58" i="231" l="1"/>
  <c r="N58" i="231" s="1"/>
  <c r="C59" i="231" s="1"/>
  <c r="K59" i="231" s="1"/>
  <c r="M59" i="231" s="1"/>
  <c r="L59" i="231" l="1"/>
  <c r="N59" i="231" s="1"/>
  <c r="C60" i="231" s="1"/>
  <c r="K60" i="231" s="1"/>
  <c r="L60" i="231" l="1"/>
  <c r="M60" i="231"/>
  <c r="N60" i="231" l="1"/>
  <c r="C61" i="231" s="1"/>
  <c r="K61" i="231" s="1"/>
  <c r="L61" i="231" l="1"/>
  <c r="M61" i="231"/>
  <c r="N61" i="231" l="1"/>
  <c r="C62" i="231" s="1"/>
  <c r="K62" i="231" s="1"/>
  <c r="M62" i="231" l="1"/>
  <c r="L62" i="231"/>
  <c r="N62" i="231" l="1"/>
  <c r="C63" i="231" s="1"/>
  <c r="K63" i="231" s="1"/>
  <c r="L63" i="231" l="1"/>
  <c r="M63" i="231"/>
  <c r="N63" i="231" l="1"/>
  <c r="C64" i="231" s="1"/>
  <c r="K64" i="231" s="1"/>
  <c r="M64" i="231" l="1"/>
  <c r="L64" i="231"/>
  <c r="N64" i="231" l="1"/>
  <c r="C65" i="231" s="1"/>
  <c r="K65" i="231" s="1"/>
  <c r="L65" i="231" l="1"/>
  <c r="M65" i="231"/>
  <c r="N65" i="231" l="1"/>
  <c r="C66" i="231" s="1"/>
  <c r="K66" i="231" s="1"/>
  <c r="L66" i="231" s="1"/>
  <c r="M66" i="231" l="1"/>
  <c r="N66" i="231" s="1"/>
  <c r="C67" i="231" s="1"/>
  <c r="K67" i="231" s="1"/>
  <c r="M67" i="231" s="1"/>
  <c r="L67" i="231" l="1"/>
  <c r="N67" i="231" s="1"/>
  <c r="C68" i="231" s="1"/>
  <c r="K68" i="231" s="1"/>
  <c r="M68" i="231" s="1"/>
  <c r="L68" i="231" l="1"/>
  <c r="N68" i="231" s="1"/>
  <c r="C69" i="231" s="1"/>
  <c r="K69" i="231" s="1"/>
  <c r="L69" i="231" l="1"/>
  <c r="M69" i="231"/>
  <c r="N69" i="231" l="1"/>
  <c r="C70" i="231" s="1"/>
  <c r="K70" i="231" s="1"/>
  <c r="L70" i="231" s="1"/>
  <c r="M70" i="231" l="1"/>
  <c r="N70" i="231" s="1"/>
  <c r="C71" i="231" l="1"/>
  <c r="K71" i="231" s="1"/>
  <c r="L71" i="231" s="1"/>
  <c r="M71" i="231" l="1"/>
  <c r="N71" i="231" s="1"/>
</calcChain>
</file>

<file path=xl/sharedStrings.xml><?xml version="1.0" encoding="utf-8"?>
<sst xmlns="http://schemas.openxmlformats.org/spreadsheetml/2006/main" count="287" uniqueCount="219">
  <si>
    <t>Project #</t>
  </si>
  <si>
    <t>Category and Project Description</t>
  </si>
  <si>
    <t>Timing</t>
  </si>
  <si>
    <t>Years</t>
  </si>
  <si>
    <t>Start Year</t>
  </si>
  <si>
    <t>End Year</t>
  </si>
  <si>
    <t>TOTAL</t>
  </si>
  <si>
    <t>+</t>
  </si>
  <si>
    <t>-</t>
  </si>
  <si>
    <t>Year</t>
  </si>
  <si>
    <t>Total</t>
  </si>
  <si>
    <t>starting</t>
  </si>
  <si>
    <t>b</t>
  </si>
  <si>
    <t>a</t>
  </si>
  <si>
    <t>f</t>
  </si>
  <si>
    <t>e</t>
  </si>
  <si>
    <t>g</t>
  </si>
  <si>
    <t>h</t>
  </si>
  <si>
    <t>i</t>
  </si>
  <si>
    <t>j</t>
  </si>
  <si>
    <t>Benefit to New Development</t>
  </si>
  <si>
    <t>Benefit to Exisitng Development</t>
  </si>
  <si>
    <t>Annual total (ha)</t>
  </si>
  <si>
    <t>Current Year</t>
  </si>
  <si>
    <t xml:space="preserve">enter figure </t>
  </si>
  <si>
    <t>Interest Rates (%)</t>
  </si>
  <si>
    <t>Off-site Levy Project Costs before  Cost Deductions</t>
  </si>
  <si>
    <t>Off-site Levy Recoverable</t>
  </si>
  <si>
    <t>Payment Timing - Off-site Levies</t>
  </si>
  <si>
    <t>Population Growth Rate</t>
  </si>
  <si>
    <t>Annual Population Growth</t>
  </si>
  <si>
    <t>Project Description</t>
  </si>
  <si>
    <t>Town of Okotoks</t>
  </si>
  <si>
    <t>Off-site Levy Fee Reserve Fund Closing Balance</t>
  </si>
  <si>
    <t>Cumulative Surplus (Deficit)</t>
  </si>
  <si>
    <t>RF Interest Accural</t>
  </si>
  <si>
    <t>Anticipated Fee Revenue</t>
  </si>
  <si>
    <t>Hectares per year</t>
  </si>
  <si>
    <t>Off-site Levy Fee Reserve Fund Opening Balance</t>
  </si>
  <si>
    <t>Year Beginning</t>
  </si>
  <si>
    <t>Future Value Compounded Interest</t>
  </si>
  <si>
    <t>Net Project Cost</t>
  </si>
  <si>
    <t>Description</t>
  </si>
  <si>
    <t>Cumulative total (ha)</t>
  </si>
  <si>
    <t>Cumulative Residential (ha)</t>
  </si>
  <si>
    <t>Cumulative Non-Residential (ha)</t>
  </si>
  <si>
    <t>R-1</t>
  </si>
  <si>
    <t>R-2</t>
  </si>
  <si>
    <t>Community Amenities</t>
  </si>
  <si>
    <t>Recreation Centre Expansion - Leisure Water and Other</t>
  </si>
  <si>
    <t>Flatwater Expansion</t>
  </si>
  <si>
    <t>Benefit to Growth</t>
  </si>
  <si>
    <t>Benefit to Existing</t>
  </si>
  <si>
    <t xml:space="preserve">Benefit </t>
  </si>
  <si>
    <t>Project Costs</t>
  </si>
  <si>
    <t>Growth Share</t>
  </si>
  <si>
    <t>Existing Share</t>
  </si>
  <si>
    <t>Code</t>
  </si>
  <si>
    <t>Name</t>
  </si>
  <si>
    <t>No</t>
  </si>
  <si>
    <t>Oversize Cost Recovery</t>
  </si>
  <si>
    <t>Financing</t>
  </si>
  <si>
    <t xml:space="preserve">Funding </t>
  </si>
  <si>
    <t>Engineering (15%)</t>
  </si>
  <si>
    <t>Town</t>
  </si>
  <si>
    <t>OSL</t>
  </si>
  <si>
    <t>Assumed Approach to</t>
  </si>
  <si>
    <t>Foothills Share</t>
  </si>
  <si>
    <t>DRAFT OFF-SITE LEVY PROJECT LIST - Recreation</t>
  </si>
  <si>
    <t>Okotoks Share</t>
  </si>
  <si>
    <t>Benefit to Okotoks</t>
  </si>
  <si>
    <t>Regional Benefit</t>
  </si>
  <si>
    <t>Contingency (%)</t>
  </si>
  <si>
    <t>Cost Deductions (Grants, Local Developer Contributions)</t>
  </si>
  <si>
    <t>c</t>
  </si>
  <si>
    <t>d</t>
  </si>
  <si>
    <t>k</t>
  </si>
  <si>
    <t>Infrastructure Category</t>
  </si>
  <si>
    <t>Recreation</t>
  </si>
  <si>
    <t>Project Stage</t>
  </si>
  <si>
    <t>Conceptual</t>
  </si>
  <si>
    <t>Preliminary Design</t>
  </si>
  <si>
    <t>Detailed Design</t>
  </si>
  <si>
    <t>Project Costs w/o Contingency ($2024)</t>
  </si>
  <si>
    <t xml:space="preserve">Project Costs </t>
  </si>
  <si>
    <t>Total Project Cost ($2024)</t>
  </si>
  <si>
    <t>Share</t>
  </si>
  <si>
    <t>Oversize</t>
  </si>
  <si>
    <t>Benefit</t>
  </si>
  <si>
    <t>Project Costs w/o Contingency ($2022)</t>
  </si>
  <si>
    <t>Inflation Rates (%) - Levy Rate</t>
  </si>
  <si>
    <t>25 year window</t>
  </si>
  <si>
    <t>MODEL ASSUMPTIONS</t>
  </si>
  <si>
    <t>Total Project Cost ($2022)</t>
  </si>
  <si>
    <t>Inflated Project Costs</t>
  </si>
  <si>
    <t>Cumulative</t>
  </si>
  <si>
    <t>Total Project Cost ($2025)</t>
  </si>
  <si>
    <t>Pipe / Road Length (m)</t>
  </si>
  <si>
    <t>Total Project Cost ($2023)</t>
  </si>
  <si>
    <t>Project Costs w/o Contingency ($2025)</t>
  </si>
  <si>
    <t>Benefit to Foothills</t>
  </si>
  <si>
    <t>Regional Share</t>
  </si>
  <si>
    <t>Expenses in 2024 ($2024)</t>
  </si>
  <si>
    <t>Annual Employment Growth</t>
  </si>
  <si>
    <t>Annual Residential Hectare Growth (ha)</t>
  </si>
  <si>
    <t>Annual Employment Hectare Growth (ha)</t>
  </si>
  <si>
    <t>Residential Population</t>
  </si>
  <si>
    <t>Total Project Cost ($2026)</t>
  </si>
  <si>
    <t>Future/Remaining Project Costs ($2026)</t>
  </si>
  <si>
    <t>Expenses in 2025 ($2025)</t>
  </si>
  <si>
    <t>Debentures</t>
  </si>
  <si>
    <t>Project Constructed and Funded under existing Debenture?</t>
  </si>
  <si>
    <t>Project Expenditures</t>
  </si>
  <si>
    <t>Grants</t>
  </si>
  <si>
    <t>Assumed Grant Value</t>
  </si>
  <si>
    <t>Debenture Principle ($)</t>
  </si>
  <si>
    <t>Expenses in 2023 ($2023)</t>
  </si>
  <si>
    <t>Project Cost in Year of Delivery</t>
  </si>
  <si>
    <t>2026 Project Costs</t>
  </si>
  <si>
    <t>R-1A</t>
  </si>
  <si>
    <t>R-1B</t>
  </si>
  <si>
    <t>Recreation Centre Expansion - Leisure Water and Other - Design Work</t>
  </si>
  <si>
    <t>Baseline population taken from Alberta Dashboard</t>
  </si>
  <si>
    <t>Source: https://regionaldashboard.alberta.ca/region/okotoks/population/#/?from=2021&amp;to=2025</t>
  </si>
  <si>
    <t>Cost Recovery Timing</t>
  </si>
  <si>
    <t>Levy Inflation Rate Annually</t>
  </si>
  <si>
    <t>End of 2025 Fund Balances</t>
  </si>
  <si>
    <t xml:space="preserve">Growth-related Expenditures </t>
  </si>
  <si>
    <t>Current Levy ($2026)</t>
  </si>
  <si>
    <t>Bank of Canada:</t>
  </si>
  <si>
    <t>Alberta Capital Finance:</t>
  </si>
  <si>
    <t>Off-Site Levy Fund Balances as at December 31, 2025</t>
  </si>
  <si>
    <t>Community Amenity Levy</t>
  </si>
  <si>
    <t>Land Description</t>
  </si>
  <si>
    <t>Development Area (ha)</t>
  </si>
  <si>
    <t>D'Arcy Phase 11 (MR)</t>
  </si>
  <si>
    <t>D'Arcy Phase 14</t>
  </si>
  <si>
    <t>D'Arcy Phase 15</t>
  </si>
  <si>
    <t>Wedderburn Phase 8</t>
  </si>
  <si>
    <t>Debenture Principal Advanced Remaining</t>
  </si>
  <si>
    <t>[6 x 7]</t>
  </si>
  <si>
    <t>[2+3-4-5+8]</t>
  </si>
  <si>
    <t>[9+10+11]</t>
  </si>
  <si>
    <t>Existing Debenture  Payments (Growth Portion Only)</t>
  </si>
  <si>
    <t>Infrastructure Capacity Reached</t>
  </si>
  <si>
    <t>2026 Assumed Agreements Executed</t>
  </si>
  <si>
    <t>Mid 2026
Totals (ha)</t>
  </si>
  <si>
    <t>Annual</t>
  </si>
  <si>
    <t>Burnswest Phase 2</t>
  </si>
  <si>
    <t>Ridgemont Phase 1</t>
  </si>
  <si>
    <t>Tillotson Phase 2</t>
  </si>
  <si>
    <t>D'Arcy Phase 12</t>
  </si>
  <si>
    <t>D'Arcy Phase 18</t>
  </si>
  <si>
    <t>D'Arcy Phase 19</t>
  </si>
  <si>
    <t>Wedderburn Phase 11</t>
  </si>
  <si>
    <t>Inflation Rates (%)</t>
  </si>
  <si>
    <t>2025 Agreement Carry-over</t>
  </si>
  <si>
    <t>2026 Agreement Collections (50%)</t>
  </si>
  <si>
    <t>&lt;- 2026 agreements executed are only collected at 50% in year 1</t>
  </si>
  <si>
    <t>2026 Collections</t>
  </si>
  <si>
    <t>2027 Collections</t>
  </si>
  <si>
    <t>HOW TO USE THIS DOCUMENT</t>
  </si>
  <si>
    <t xml:space="preserve">Description </t>
  </si>
  <si>
    <t>Tab Title</t>
  </si>
  <si>
    <t>Oversize Costs</t>
  </si>
  <si>
    <t>2025 OSL Account Detail</t>
  </si>
  <si>
    <t>Total to Date</t>
  </si>
  <si>
    <t>2026 Collections Summary</t>
  </si>
  <si>
    <t xml:space="preserve">2025 Off-Site Levy Fund Balances, Payments, agreements executed, and project expenditures, used to calculate levy fund opening balance at start of 2026 for each infrastructure category. </t>
  </si>
  <si>
    <t xml:space="preserve">2026 Off-Site Levy fund payments collected to date, agreements executed to date, and upcoming agreements to be executed in 2026, used in Cost Recovery Timing tab for remaining 2026 growth projection. </t>
  </si>
  <si>
    <t>Debentures for OSL Model</t>
  </si>
  <si>
    <t xml:space="preserve">Cost Recovery Timing </t>
  </si>
  <si>
    <t>Project List</t>
  </si>
  <si>
    <t xml:space="preserve">Includes all project information including descriptions, timing, allocation of benefit, and costs. </t>
  </si>
  <si>
    <t>25 Year Debenture</t>
  </si>
  <si>
    <t>Assumptions</t>
  </si>
  <si>
    <t>2026 City of Calgary Development Agreement Rates for Sanitary Collection and Transportation utilitzed to calculate improvements beyond local development costs to be recovered through the OSL.</t>
  </si>
  <si>
    <t xml:space="preserve">Population growth table for Okotoks based on Growth Projections from Okotoks Growth Strategy (2025). Cost Recovery approach and contributing hectares varies for each infrastructure category. </t>
  </si>
  <si>
    <t>Assumed Remaining 2026 Growth (June 1, 2026 to December 31, 2026):</t>
  </si>
  <si>
    <t>Assumed Total Contributing Hectares</t>
  </si>
  <si>
    <t>Assumed Annual Growth - Mid 2026 Onwards
(ha)</t>
  </si>
  <si>
    <t>Population and Emploiyment Growth Projections - Based on Okotoks Growth Strategy (2024)</t>
  </si>
  <si>
    <t>Front-Ended by Others and Oversize Recovery Eligible</t>
  </si>
  <si>
    <t>Expenses in 2021 ($2021)</t>
  </si>
  <si>
    <t>Rational</t>
  </si>
  <si>
    <t>Based on 5-year Average (2021-2025) - Alberta Capital Finance (25-year debenture)</t>
  </si>
  <si>
    <t xml:space="preserve">2026 Payments Collected (2025 Agreements - 2nd Payments) </t>
  </si>
  <si>
    <t>2026 Payments Collected (1st Payment of 2026 Agreements Executed and 2nd Payment of 2025 Agreements Executed)</t>
  </si>
  <si>
    <t>Based on average interest earned on positive fund balances from Town of Okotoks (2021-2025)</t>
  </si>
  <si>
    <t>Interest Earned Rate:</t>
  </si>
  <si>
    <t xml:space="preserve">Interest Earned </t>
  </si>
  <si>
    <t xml:space="preserve">Project Cost Inflation - Applied to Future Project Costs - </t>
  </si>
  <si>
    <t>Project Cost Inflation - to bring Project Costs to $2026 (save for Recreation Projects) -</t>
  </si>
  <si>
    <t xml:space="preserve">Project Cost Inflation - to bring Project Costs to $2026 (for Recreation Projects) - </t>
  </si>
  <si>
    <t>Allocation of Benefit Rationale</t>
  </si>
  <si>
    <t xml:space="preserve">The Okotoks Recreation Centre base expansion and leisure water addition is required immediately. Leisure water features do not currently exist in the Town of Okotoks, and as such, the benefit will be realized by both existing and new development. The allocation split between existing and new development is based on the current Town population versus total benefitting population. </t>
  </si>
  <si>
    <t xml:space="preserve">Same as above. </t>
  </si>
  <si>
    <t>The flatwater expansion is required to address increased demand from new development in Okotoks and, as such, the benefit will be fully realized by new development after considering the regional benefit allocation.</t>
  </si>
  <si>
    <t>Assumed Agreements for Remainder of 2026</t>
  </si>
  <si>
    <t>&lt;- Based on received subdivision applications</t>
  </si>
  <si>
    <t>Model Tabs</t>
  </si>
  <si>
    <t xml:space="preserve">The models function by using a goal seek to determine levy rate (cell I20) based on setting the Off-site Levy Fee Reserve Fund Closing Balance (column N) to be zero in the balance year.
Steps:
1. Data tab &gt; What-If Analysis &gt; Goal Seek
2. Set cell: balance year in Column N
    To value: 0
    By changing cell: I20
3. Click OK and accept new results
</t>
  </si>
  <si>
    <t>Recreation - OSL</t>
  </si>
  <si>
    <t>Low</t>
  </si>
  <si>
    <t>High</t>
  </si>
  <si>
    <t>Functional</t>
  </si>
  <si>
    <t>This workbook contains the financial models used to determine the Off-site Levy (OSL) rates as a part of the 2026 Off-site Levy Bylaw update. This financial model uses the latest information and assumptions available at the time of the update.
The following tables describe the tabs contained within this workbook:</t>
  </si>
  <si>
    <t>This tab provides the assumptions that feed into the OSL infrastruture category models including interest &amp; inflation rates, project contingencies, and 2025 OSL Reserve Fund Balances.</t>
  </si>
  <si>
    <t xml:space="preserve">Loan schedules from debt advanced by the Town to finance infrastructure, including annual interest and principle payments. </t>
  </si>
  <si>
    <t>Within 2 Years</t>
  </si>
  <si>
    <t>Within 1 Year</t>
  </si>
  <si>
    <t>Upon Execution</t>
  </si>
  <si>
    <t xml:space="preserve">Levy calculated based on "Goal Seek" Function. "Goal Seek" to zero in 2045 to account for 3rd Payment from 2043 growth. </t>
  </si>
  <si>
    <t>OSL Levy Summary</t>
  </si>
  <si>
    <t>Proposed Levy ($2026)</t>
  </si>
  <si>
    <t>Carrying costs are not assumed for infrastructure front-ended by developer</t>
  </si>
  <si>
    <t>Interest Earned - Positive (+)</t>
  </si>
  <si>
    <t>Interest Paid on Debt or Deficit (-) - TOWN FRONT ENDED</t>
  </si>
  <si>
    <t>Interest Paid on Debt or Deficit (-) - DEVELOPER FRONT ENDED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</si>
</sst>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3">
    <numFmt numFmtId="42" formatCode="_(&quot;$&quot;* #,##0_);_(&quot;$&quot;* \(#,##0\);_(&quot;$&quot;* &quot;-&quot;_);_(@_)"/>
    <numFmt numFmtId="44" formatCode="_(&quot;$&quot;* #,##0.00_);_(&quot;$&quot;* \(#,##0.00\);_(&quot;$&quot;* &quot;-&quot;??_);_(@_)"/>
    <numFmt numFmtId="43" formatCode="_(* #,##0.00_);_(* \(#,##0.00\);_(* &quot;-&quot;??_);_(@_)"/>
    <numFmt numFmtId="164" formatCode="_-&quot;$&quot;* #,##0_-;\-&quot;$&quot;* #,##0_-;_-&quot;$&quot;* &quot;-&quot;_-;_-@_-"/>
    <numFmt numFmtId="165" formatCode="_-&quot;$&quot;* #,##0.00_-;\-&quot;$&quot;* #,##0.00_-;_-&quot;$&quot;* &quot;-&quot;??_-;_-@_-"/>
    <numFmt numFmtId="166" formatCode="_-* #,##0.00_-;\-* #,##0.00_-;_-* &quot;-&quot;??_-;_-@_-"/>
    <numFmt numFmtId="167" formatCode="_-&quot;$&quot;* #,##0_-;\-&quot;$&quot;* #,##0_-;_-&quot;$&quot;* &quot;-&quot;??_-;_-@_-"/>
    <numFmt numFmtId="168" formatCode="0.0%"/>
    <numFmt numFmtId="169" formatCode="_(* #,##0_);_(* \(#,##0\);_(* &quot;-&quot;??_);_(@_)"/>
    <numFmt numFmtId="170" formatCode="&quot;$&quot;#,##0"/>
    <numFmt numFmtId="171" formatCode="_(&quot;$&quot;* #,##0_);_(&quot;$&quot;* \(#,##0\);_(&quot;$&quot;* &quot;-&quot;??_);_(@_)"/>
    <numFmt numFmtId="172" formatCode="&quot;$&quot;#,##0.00"/>
    <numFmt numFmtId="173" formatCode="0.000"/>
  </numFmts>
  <fonts count="88">
    <font>
      <sz val="11"/>
      <color theme="1"/>
      <name val="Calibri"/>
      <family val="2"/>
      <scheme val="minor"/>
    </font>
    <font>
      <sz val="10"/>
      <color theme="1"/>
      <name val="Arial"/>
      <family val="2"/>
    </font>
    <font>
      <sz val="10"/>
      <color theme="1"/>
      <name val="Arial"/>
      <family val="2"/>
    </font>
    <font>
      <sz val="10"/>
      <color theme="1"/>
      <name val="Arial"/>
      <family val="2"/>
    </font>
    <font>
      <sz val="10"/>
      <color theme="1"/>
      <name val="Arial"/>
      <family val="2"/>
    </font>
    <font>
      <sz val="10"/>
      <color theme="1"/>
      <name val="Arial"/>
      <family val="2"/>
    </font>
    <font>
      <sz val="10"/>
      <color theme="1"/>
      <name val="Arial"/>
      <family val="2"/>
    </font>
    <font>
      <sz val="10"/>
      <color theme="1"/>
      <name val="Arial"/>
      <family val="2"/>
    </font>
    <font>
      <sz val="11"/>
      <name val="Calibri"/>
      <family val="2"/>
    </font>
    <font>
      <sz val="11"/>
      <color theme="1"/>
      <name val="Calibri"/>
      <family val="2"/>
      <scheme val="minor"/>
    </font>
    <font>
      <b/>
      <sz val="12"/>
      <name val="Arial"/>
      <family val="2"/>
    </font>
    <font>
      <sz val="10"/>
      <name val="Arial"/>
      <family val="2"/>
    </font>
    <font>
      <b/>
      <sz val="10"/>
      <name val="Arial"/>
      <family val="2"/>
    </font>
    <font>
      <b/>
      <sz val="11"/>
      <name val="Arial"/>
      <family val="2"/>
    </font>
    <font>
      <sz val="11"/>
      <color indexed="8"/>
      <name val="Calibri"/>
      <family val="2"/>
    </font>
    <font>
      <sz val="11"/>
      <color indexed="9"/>
      <name val="Calibri"/>
      <family val="2"/>
    </font>
    <font>
      <sz val="11"/>
      <color indexed="20"/>
      <name val="Calibri"/>
      <family val="2"/>
    </font>
    <font>
      <b/>
      <sz val="11"/>
      <color indexed="52"/>
      <name val="Calibri"/>
      <family val="2"/>
    </font>
    <font>
      <b/>
      <sz val="11"/>
      <color indexed="9"/>
      <name val="Calibri"/>
      <family val="2"/>
    </font>
    <font>
      <i/>
      <sz val="11"/>
      <color indexed="23"/>
      <name val="Calibri"/>
      <family val="2"/>
    </font>
    <font>
      <sz val="11"/>
      <color indexed="17"/>
      <name val="Calibri"/>
      <family val="2"/>
    </font>
    <font>
      <b/>
      <sz val="15"/>
      <color indexed="56"/>
      <name val="Calibri"/>
      <family val="2"/>
    </font>
    <font>
      <b/>
      <sz val="13"/>
      <color indexed="56"/>
      <name val="Calibri"/>
      <family val="2"/>
    </font>
    <font>
      <b/>
      <sz val="11"/>
      <color indexed="56"/>
      <name val="Calibri"/>
      <family val="2"/>
    </font>
    <font>
      <sz val="11"/>
      <color indexed="62"/>
      <name val="Calibri"/>
      <family val="2"/>
    </font>
    <font>
      <sz val="11"/>
      <color indexed="52"/>
      <name val="Calibri"/>
      <family val="2"/>
    </font>
    <font>
      <sz val="11"/>
      <color indexed="60"/>
      <name val="Calibri"/>
      <family val="2"/>
    </font>
    <font>
      <b/>
      <sz val="11"/>
      <color indexed="63"/>
      <name val="Calibri"/>
      <family val="2"/>
    </font>
    <font>
      <b/>
      <sz val="18"/>
      <color indexed="56"/>
      <name val="Cambria"/>
      <family val="1"/>
    </font>
    <font>
      <b/>
      <sz val="11"/>
      <color indexed="8"/>
      <name val="Calibri"/>
      <family val="2"/>
    </font>
    <font>
      <sz val="11"/>
      <color indexed="10"/>
      <name val="Calibri"/>
      <family val="2"/>
    </font>
    <font>
      <sz val="11"/>
      <color theme="1"/>
      <name val="Calibri"/>
      <family val="2"/>
    </font>
    <font>
      <b/>
      <sz val="11"/>
      <color theme="1"/>
      <name val="Calibri"/>
      <family val="2"/>
      <scheme val="minor"/>
    </font>
    <font>
      <sz val="11"/>
      <name val="Calibri"/>
      <family val="2"/>
      <scheme val="minor"/>
    </font>
    <font>
      <b/>
      <sz val="11"/>
      <color theme="1"/>
      <name val="Calibri"/>
      <family val="2"/>
    </font>
    <font>
      <b/>
      <sz val="11"/>
      <name val="Calibri"/>
      <family val="2"/>
    </font>
    <font>
      <b/>
      <sz val="11"/>
      <color rgb="FF0000FF"/>
      <name val="Calibri"/>
      <family val="2"/>
    </font>
    <font>
      <sz val="10"/>
      <name val="Arial"/>
      <family val="2"/>
    </font>
    <font>
      <sz val="8"/>
      <name val="Arial"/>
      <family val="2"/>
    </font>
    <font>
      <sz val="10"/>
      <name val="Arial"/>
      <family val="2"/>
    </font>
    <font>
      <sz val="8"/>
      <name val="Arial Cyr"/>
      <charset val="204"/>
    </font>
    <font>
      <u/>
      <sz val="11"/>
      <color theme="10"/>
      <name val="Calibri"/>
      <family val="2"/>
    </font>
    <font>
      <b/>
      <sz val="11"/>
      <name val="Calibri"/>
      <family val="2"/>
      <scheme val="minor"/>
    </font>
    <font>
      <sz val="10"/>
      <color theme="1"/>
      <name val="Calibri "/>
    </font>
    <font>
      <b/>
      <sz val="10"/>
      <color theme="1"/>
      <name val="Calibri "/>
    </font>
    <font>
      <sz val="10"/>
      <name val="Calibri"/>
      <family val="1"/>
      <scheme val="minor"/>
    </font>
    <font>
      <sz val="10"/>
      <name val="Arial"/>
      <family val="2"/>
    </font>
    <font>
      <sz val="11"/>
      <color theme="1"/>
      <name val="Agency FB"/>
      <family val="2"/>
    </font>
    <font>
      <sz val="11"/>
      <color rgb="FF3F3F76"/>
      <name val="Agency FB"/>
      <family val="2"/>
    </font>
    <font>
      <b/>
      <sz val="11"/>
      <color rgb="FFFA7D00"/>
      <name val="Agency FB"/>
      <family val="2"/>
    </font>
    <font>
      <b/>
      <i/>
      <sz val="11"/>
      <name val="Calibri"/>
      <family val="2"/>
      <scheme val="minor"/>
    </font>
    <font>
      <b/>
      <sz val="11"/>
      <color rgb="FFFF0000"/>
      <name val="Calibri"/>
      <family val="2"/>
      <scheme val="minor"/>
    </font>
    <font>
      <sz val="12"/>
      <color theme="1"/>
      <name val="Calibri"/>
      <family val="2"/>
      <scheme val="minor"/>
    </font>
    <font>
      <sz val="10"/>
      <color theme="1"/>
      <name val="Calibri"/>
      <family val="2"/>
      <scheme val="minor"/>
    </font>
    <font>
      <b/>
      <sz val="8"/>
      <color theme="1"/>
      <name val="Montserrat Medium"/>
    </font>
    <font>
      <sz val="8"/>
      <color theme="1"/>
      <name val="Montserrat Medium"/>
    </font>
    <font>
      <u/>
      <sz val="10"/>
      <color theme="10"/>
      <name val="Arial"/>
      <family val="2"/>
    </font>
    <font>
      <b/>
      <sz val="16"/>
      <color theme="1"/>
      <name val="Montserrat Medium"/>
    </font>
    <font>
      <u/>
      <sz val="11"/>
      <color theme="4"/>
      <name val="Calibri"/>
      <family val="2"/>
    </font>
    <font>
      <b/>
      <u/>
      <sz val="11"/>
      <color theme="4"/>
      <name val="Calibri"/>
      <family val="2"/>
    </font>
    <font>
      <sz val="11"/>
      <color rgb="FF0066FF"/>
      <name val="Calibri"/>
      <family val="2"/>
    </font>
    <font>
      <b/>
      <u val="singleAccounting"/>
      <sz val="11"/>
      <color theme="4"/>
      <name val="Calibri"/>
      <family val="2"/>
    </font>
    <font>
      <sz val="11"/>
      <name val="Calibri"/>
      <family val="2"/>
    </font>
    <font>
      <sz val="11"/>
      <name val="Calibri"/>
      <family val="2"/>
      <scheme val="minor"/>
    </font>
    <font>
      <b/>
      <sz val="12"/>
      <color theme="1"/>
      <name val="Calibri "/>
    </font>
    <font>
      <sz val="9"/>
      <color theme="1"/>
      <name val="Calibri"/>
      <family val="2"/>
      <scheme val="minor"/>
    </font>
    <font>
      <sz val="10"/>
      <name val="Calibri"/>
      <family val="2"/>
      <scheme val="minor"/>
    </font>
    <font>
      <sz val="11"/>
      <color theme="1"/>
      <name val="Segoe UI"/>
      <family val="2"/>
    </font>
    <font>
      <b/>
      <sz val="11"/>
      <color rgb="FF000000"/>
      <name val="Segoe UI"/>
      <family val="2"/>
    </font>
    <font>
      <b/>
      <sz val="11"/>
      <color theme="1"/>
      <name val="Segoe UI"/>
      <family val="2"/>
    </font>
    <font>
      <b/>
      <u val="singleAccounting"/>
      <sz val="11"/>
      <name val="Calibri"/>
      <family val="2"/>
    </font>
    <font>
      <b/>
      <sz val="11"/>
      <color theme="1"/>
      <name val="Montserrat Medium"/>
    </font>
    <font>
      <sz val="11"/>
      <color theme="1"/>
      <name val="Montserrat Medium"/>
    </font>
    <font>
      <b/>
      <sz val="11"/>
      <color rgb="FF000000"/>
      <name val="Montserrat Medium"/>
    </font>
    <font>
      <b/>
      <sz val="9"/>
      <color theme="1"/>
      <name val="Montserrat Medium"/>
    </font>
    <font>
      <sz val="9"/>
      <color theme="1"/>
      <name val="Montserrat Medium"/>
    </font>
    <font>
      <sz val="10"/>
      <name val="Montserrat Medium"/>
    </font>
    <font>
      <b/>
      <sz val="11"/>
      <name val="Montserrat Medium"/>
    </font>
    <font>
      <b/>
      <sz val="14"/>
      <color theme="1"/>
      <name val="Montserrat Medium"/>
    </font>
    <font>
      <sz val="11"/>
      <color rgb="FF000000"/>
      <name val="Montserrat Medium"/>
    </font>
    <font>
      <sz val="10"/>
      <color theme="1"/>
      <name val="Montserrat Medium"/>
    </font>
    <font>
      <sz val="9"/>
      <color theme="1"/>
      <name val="Montserrat"/>
    </font>
    <font>
      <sz val="11"/>
      <color theme="1"/>
      <name val="Montserrat"/>
    </font>
    <font>
      <b/>
      <sz val="11"/>
      <color theme="1"/>
      <name val="Montserrat"/>
    </font>
    <font>
      <sz val="11"/>
      <name val="Montserrat"/>
    </font>
    <font>
      <b/>
      <u/>
      <sz val="10"/>
      <color rgb="FF000000"/>
      <name val="Montserrat"/>
    </font>
    <font>
      <b/>
      <sz val="10"/>
      <color rgb="FF000000"/>
      <name val="Montserrat"/>
    </font>
    <font>
      <sz val="11"/>
      <name val="Montserrat Medium"/>
    </font>
  </fonts>
  <fills count="46">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rgb="FFFFFF00"/>
        <bgColor indexed="64"/>
      </patternFill>
    </fill>
    <fill>
      <patternFill patternType="solid">
        <fgColor theme="6" tint="0.59999389629810485"/>
        <bgColor indexed="64"/>
      </patternFill>
    </fill>
    <fill>
      <patternFill patternType="solid">
        <fgColor theme="9" tint="0.39997558519241921"/>
        <bgColor indexed="64"/>
      </patternFill>
    </fill>
    <fill>
      <patternFill patternType="solid">
        <fgColor theme="0"/>
        <bgColor indexed="64"/>
      </patternFill>
    </fill>
    <fill>
      <patternFill patternType="solid">
        <fgColor indexed="9"/>
        <bgColor indexed="9"/>
      </patternFill>
    </fill>
    <fill>
      <patternFill patternType="solid">
        <fgColor theme="0" tint="-0.34998626667073579"/>
        <bgColor indexed="64"/>
      </patternFill>
    </fill>
    <fill>
      <patternFill patternType="solid">
        <fgColor theme="0" tint="-0.14999847407452621"/>
        <bgColor indexed="64"/>
      </patternFill>
    </fill>
    <fill>
      <patternFill patternType="solid">
        <fgColor rgb="FF00B0F0"/>
        <bgColor indexed="64"/>
      </patternFill>
    </fill>
    <fill>
      <patternFill patternType="solid">
        <fgColor theme="0" tint="-0.249977111117893"/>
        <bgColor indexed="64"/>
      </patternFill>
    </fill>
    <fill>
      <patternFill patternType="solid">
        <fgColor theme="2" tint="-9.9978637043366805E-2"/>
        <bgColor indexed="64"/>
      </patternFill>
    </fill>
    <fill>
      <patternFill patternType="solid">
        <fgColor rgb="FFFFCC99"/>
      </patternFill>
    </fill>
    <fill>
      <patternFill patternType="solid">
        <fgColor rgb="FFF2F2F2"/>
      </patternFill>
    </fill>
    <fill>
      <patternFill patternType="solid">
        <fgColor theme="6" tint="0.79998168889431442"/>
        <bgColor theme="6" tint="0.79998168889431442"/>
      </patternFill>
    </fill>
    <fill>
      <patternFill patternType="solid">
        <fgColor theme="5" tint="0.59999389629810485"/>
        <bgColor indexed="64"/>
      </patternFill>
    </fill>
    <fill>
      <patternFill patternType="solid">
        <fgColor theme="4" tint="0.79998168889431442"/>
        <bgColor indexed="64"/>
      </patternFill>
    </fill>
    <fill>
      <patternFill patternType="solid">
        <fgColor theme="2" tint="-0.249977111117893"/>
        <bgColor indexed="64"/>
      </patternFill>
    </fill>
    <fill>
      <patternFill patternType="solid">
        <fgColor theme="5" tint="0.79998168889431442"/>
        <bgColor indexed="64"/>
      </patternFill>
    </fill>
    <fill>
      <patternFill patternType="solid">
        <fgColor theme="0" tint="-0.14999847407452621"/>
        <bgColor rgb="FF000000"/>
      </patternFill>
    </fill>
    <fill>
      <patternFill patternType="solid">
        <fgColor theme="6" tint="0.79998168889431442"/>
        <bgColor indexed="64"/>
      </patternFill>
    </fill>
    <fill>
      <patternFill patternType="solid">
        <fgColor indexed="22"/>
        <bgColor indexed="64"/>
      </patternFill>
    </fill>
    <fill>
      <patternFill patternType="solid">
        <fgColor theme="6" tint="0.79998168889431442"/>
        <bgColor rgb="FF000000"/>
      </patternFill>
    </fill>
    <fill>
      <patternFill patternType="solid">
        <fgColor theme="6" tint="0.79998168889431442"/>
        <bgColor rgb="FFDDEBF7"/>
      </patternFill>
    </fill>
  </fills>
  <borders count="86">
    <border>
      <left/>
      <right/>
      <top/>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right style="thin">
        <color indexed="64"/>
      </right>
      <top/>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thin">
        <color indexed="64"/>
      </right>
      <top/>
      <bottom style="medium">
        <color indexed="64"/>
      </bottom>
      <diagonal/>
    </border>
    <border>
      <left/>
      <right/>
      <top/>
      <bottom style="thin">
        <color indexed="64"/>
      </bottom>
      <diagonal/>
    </border>
    <border>
      <left/>
      <right/>
      <top style="thin">
        <color indexed="64"/>
      </top>
      <bottom style="thin">
        <color indexed="64"/>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64"/>
      </left>
      <right style="thin">
        <color indexed="64"/>
      </right>
      <top style="thin">
        <color indexed="64"/>
      </top>
      <bottom style="thin">
        <color indexed="64"/>
      </bottom>
      <diagonal/>
    </border>
    <border>
      <left/>
      <right/>
      <top style="double">
        <color auto="1"/>
      </top>
      <bottom style="medium">
        <color auto="1"/>
      </bottom>
      <diagonal/>
    </border>
    <border>
      <left style="thin">
        <color auto="1"/>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medium">
        <color indexed="64"/>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style="medium">
        <color indexed="64"/>
      </top>
      <bottom/>
      <diagonal/>
    </border>
    <border>
      <left style="thin">
        <color indexed="64"/>
      </left>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bottom style="medium">
        <color indexed="64"/>
      </bottom>
      <diagonal/>
    </border>
    <border>
      <left style="thin">
        <color indexed="64"/>
      </left>
      <right/>
      <top style="medium">
        <color indexed="64"/>
      </top>
      <bottom style="thin">
        <color indexed="64"/>
      </bottom>
      <diagonal/>
    </border>
    <border>
      <left style="thin">
        <color indexed="64"/>
      </left>
      <right style="thin">
        <color indexed="64"/>
      </right>
      <top style="thin">
        <color indexed="64"/>
      </top>
      <bottom/>
      <diagonal/>
    </border>
    <border>
      <left style="double">
        <color indexed="63"/>
      </left>
      <right style="double">
        <color indexed="63"/>
      </right>
      <top style="double">
        <color indexed="63"/>
      </top>
      <bottom style="double">
        <color indexed="63"/>
      </bottom>
      <diagonal/>
    </border>
    <border>
      <left style="thin">
        <color indexed="64"/>
      </left>
      <right/>
      <top style="thin">
        <color indexed="64"/>
      </top>
      <bottom/>
      <diagonal/>
    </border>
    <border>
      <left/>
      <right/>
      <top style="thin">
        <color indexed="64"/>
      </top>
      <bottom/>
      <diagonal/>
    </border>
    <border>
      <left style="thin">
        <color indexed="64"/>
      </left>
      <right/>
      <top style="medium">
        <color indexed="64"/>
      </top>
      <bottom/>
      <diagonal/>
    </border>
    <border>
      <left/>
      <right style="thin">
        <color indexed="64"/>
      </right>
      <top style="medium">
        <color indexed="64"/>
      </top>
      <bottom/>
      <diagonal/>
    </border>
    <border>
      <left style="thin">
        <color indexed="64"/>
      </left>
      <right/>
      <top/>
      <bottom style="thin">
        <color indexed="64"/>
      </bottom>
      <diagonal/>
    </border>
    <border>
      <left style="medium">
        <color indexed="64"/>
      </left>
      <right/>
      <top/>
      <bottom style="thin">
        <color indexed="64"/>
      </bottom>
      <diagonal/>
    </border>
    <border>
      <left/>
      <right style="medium">
        <color indexed="64"/>
      </right>
      <top style="medium">
        <color indexed="64"/>
      </top>
      <bottom/>
      <diagonal/>
    </border>
    <border>
      <left/>
      <right style="medium">
        <color indexed="64"/>
      </right>
      <top style="thin">
        <color indexed="64"/>
      </top>
      <bottom style="thin">
        <color indexed="64"/>
      </bottom>
      <diagonal/>
    </border>
    <border>
      <left/>
      <right style="medium">
        <color indexed="64"/>
      </right>
      <top/>
      <bottom style="thin">
        <color indexed="64"/>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top style="thin">
        <color indexed="64"/>
      </top>
      <bottom/>
      <diagonal/>
    </border>
    <border>
      <left style="medium">
        <color indexed="64"/>
      </left>
      <right style="thin">
        <color indexed="64"/>
      </right>
      <top/>
      <bottom style="thin">
        <color indexed="64"/>
      </bottom>
      <diagonal/>
    </border>
    <border>
      <left style="thin">
        <color rgb="FF7F7F7F"/>
      </left>
      <right style="thin">
        <color rgb="FF7F7F7F"/>
      </right>
      <top style="thin">
        <color rgb="FF7F7F7F"/>
      </top>
      <bottom style="thin">
        <color rgb="FF7F7F7F"/>
      </bottom>
      <diagonal/>
    </border>
    <border>
      <left/>
      <right style="thin">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medium">
        <color indexed="64"/>
      </bottom>
      <diagonal/>
    </border>
    <border>
      <left/>
      <right/>
      <top/>
      <bottom style="double">
        <color indexed="64"/>
      </bottom>
      <diagonal/>
    </border>
    <border>
      <left/>
      <right/>
      <top style="double">
        <color indexed="64"/>
      </top>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thin">
        <color indexed="64"/>
      </left>
      <right style="medium">
        <color indexed="64"/>
      </right>
      <top/>
      <bottom style="medium">
        <color indexed="64"/>
      </bottom>
      <diagonal/>
    </border>
    <border>
      <left/>
      <right style="medium">
        <color indexed="64"/>
      </right>
      <top style="thin">
        <color indexed="64"/>
      </top>
      <bottom/>
      <diagonal/>
    </border>
    <border>
      <left/>
      <right style="medium">
        <color indexed="64"/>
      </right>
      <top style="thin">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style="thin">
        <color indexed="64"/>
      </top>
      <bottom/>
      <diagonal/>
    </border>
    <border>
      <left style="medium">
        <color indexed="64"/>
      </left>
      <right style="medium">
        <color indexed="64"/>
      </right>
      <top/>
      <bottom/>
      <diagonal/>
    </border>
    <border>
      <left style="medium">
        <color indexed="64"/>
      </left>
      <right style="medium">
        <color indexed="64"/>
      </right>
      <top style="thin">
        <color indexed="64"/>
      </top>
      <bottom style="medium">
        <color indexed="64"/>
      </bottom>
      <diagonal/>
    </border>
    <border>
      <left style="medium">
        <color indexed="64"/>
      </left>
      <right style="thin">
        <color indexed="64"/>
      </right>
      <top/>
      <bottom style="medium">
        <color indexed="64"/>
      </bottom>
      <diagonal/>
    </border>
    <border>
      <left/>
      <right style="thin">
        <color indexed="64"/>
      </right>
      <top/>
      <bottom style="medium">
        <color indexed="64"/>
      </bottom>
      <diagonal/>
    </border>
    <border>
      <left/>
      <right style="medium">
        <color indexed="64"/>
      </right>
      <top style="medium">
        <color indexed="64"/>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style="medium">
        <color indexed="64"/>
      </left>
      <right style="medium">
        <color indexed="64"/>
      </right>
      <top/>
      <bottom style="medium">
        <color indexed="64"/>
      </bottom>
      <diagonal/>
    </border>
    <border>
      <left style="thin">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bottom style="thin">
        <color indexed="64"/>
      </bottom>
      <diagonal/>
    </border>
  </borders>
  <cellStyleXfs count="240">
    <xf numFmtId="0" fontId="0" fillId="0" borderId="0"/>
    <xf numFmtId="165" fontId="9" fillId="0" borderId="0" applyFont="0" applyFill="0" applyBorder="0" applyAlignment="0" applyProtection="0"/>
    <xf numFmtId="0" fontId="11" fillId="0" borderId="0"/>
    <xf numFmtId="0" fontId="14" fillId="2" borderId="0" applyNumberFormat="0" applyBorder="0" applyAlignment="0" applyProtection="0"/>
    <xf numFmtId="0" fontId="14" fillId="3"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8" borderId="0" applyNumberFormat="0" applyBorder="0" applyAlignment="0" applyProtection="0"/>
    <xf numFmtId="0" fontId="14" fillId="9"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8" borderId="0" applyNumberFormat="0" applyBorder="0" applyAlignment="0" applyProtection="0"/>
    <xf numFmtId="0" fontId="14" fillId="11" borderId="0" applyNumberFormat="0" applyBorder="0" applyAlignment="0" applyProtection="0"/>
    <xf numFmtId="0" fontId="15" fillId="12" borderId="0" applyNumberFormat="0" applyBorder="0" applyAlignment="0" applyProtection="0"/>
    <xf numFmtId="0" fontId="15" fillId="9" borderId="0" applyNumberFormat="0" applyBorder="0" applyAlignment="0" applyProtection="0"/>
    <xf numFmtId="0" fontId="15" fillId="10" borderId="0" applyNumberFormat="0" applyBorder="0" applyAlignment="0" applyProtection="0"/>
    <xf numFmtId="0" fontId="15" fillId="13" borderId="0" applyNumberFormat="0" applyBorder="0" applyAlignment="0" applyProtection="0"/>
    <xf numFmtId="0" fontId="15" fillId="14" borderId="0" applyNumberFormat="0" applyBorder="0" applyAlignment="0" applyProtection="0"/>
    <xf numFmtId="0" fontId="15" fillId="15" borderId="0" applyNumberFormat="0" applyBorder="0" applyAlignment="0" applyProtection="0"/>
    <xf numFmtId="0" fontId="15" fillId="16" borderId="0" applyNumberFormat="0" applyBorder="0" applyAlignment="0" applyProtection="0"/>
    <xf numFmtId="0" fontId="15" fillId="17" borderId="0" applyNumberFormat="0" applyBorder="0" applyAlignment="0" applyProtection="0"/>
    <xf numFmtId="0" fontId="15" fillId="18" borderId="0" applyNumberFormat="0" applyBorder="0" applyAlignment="0" applyProtection="0"/>
    <xf numFmtId="0" fontId="15" fillId="13" borderId="0" applyNumberFormat="0" applyBorder="0" applyAlignment="0" applyProtection="0"/>
    <xf numFmtId="0" fontId="15" fillId="14" borderId="0" applyNumberFormat="0" applyBorder="0" applyAlignment="0" applyProtection="0"/>
    <xf numFmtId="0" fontId="15" fillId="19" borderId="0" applyNumberFormat="0" applyBorder="0" applyAlignment="0" applyProtection="0"/>
    <xf numFmtId="0" fontId="16" fillId="3" borderId="0" applyNumberFormat="0" applyBorder="0" applyAlignment="0" applyProtection="0"/>
    <xf numFmtId="0" fontId="17" fillId="20" borderId="9" applyNumberFormat="0" applyAlignment="0" applyProtection="0"/>
    <xf numFmtId="0" fontId="18" fillId="21" borderId="10" applyNumberFormat="0" applyAlignment="0" applyProtection="0"/>
    <xf numFmtId="166"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0" fontId="19" fillId="0" borderId="0" applyNumberFormat="0" applyFill="0" applyBorder="0" applyAlignment="0" applyProtection="0"/>
    <xf numFmtId="0" fontId="20" fillId="4" borderId="0" applyNumberFormat="0" applyBorder="0" applyAlignment="0" applyProtection="0"/>
    <xf numFmtId="0" fontId="21" fillId="0" borderId="11" applyNumberFormat="0" applyFill="0" applyAlignment="0" applyProtection="0"/>
    <xf numFmtId="0" fontId="22" fillId="0" borderId="12" applyNumberFormat="0" applyFill="0" applyAlignment="0" applyProtection="0"/>
    <xf numFmtId="0" fontId="23" fillId="0" borderId="13" applyNumberFormat="0" applyFill="0" applyAlignment="0" applyProtection="0"/>
    <xf numFmtId="0" fontId="23" fillId="0" borderId="0" applyNumberFormat="0" applyFill="0" applyBorder="0" applyAlignment="0" applyProtection="0"/>
    <xf numFmtId="0" fontId="24" fillId="7" borderId="9" applyNumberFormat="0" applyAlignment="0" applyProtection="0"/>
    <xf numFmtId="0" fontId="25" fillId="0" borderId="14" applyNumberFormat="0" applyFill="0" applyAlignment="0" applyProtection="0"/>
    <xf numFmtId="0" fontId="26" fillId="22" borderId="0" applyNumberFormat="0" applyBorder="0" applyAlignment="0" applyProtection="0"/>
    <xf numFmtId="0" fontId="11" fillId="0" borderId="0"/>
    <xf numFmtId="0" fontId="11" fillId="23" borderId="15" applyNumberFormat="0" applyFont="0" applyAlignment="0" applyProtection="0"/>
    <xf numFmtId="0" fontId="27" fillId="20" borderId="16" applyNumberFormat="0" applyAlignment="0" applyProtection="0"/>
    <xf numFmtId="9" fontId="11" fillId="0" borderId="0" applyFont="0" applyFill="0" applyBorder="0" applyAlignment="0" applyProtection="0"/>
    <xf numFmtId="9" fontId="11" fillId="0" borderId="0" applyFont="0" applyFill="0" applyBorder="0" applyAlignment="0" applyProtection="0"/>
    <xf numFmtId="0" fontId="28" fillId="0" borderId="0" applyNumberFormat="0" applyFill="0" applyBorder="0" applyAlignment="0" applyProtection="0"/>
    <xf numFmtId="0" fontId="29" fillId="0" borderId="17" applyNumberFormat="0" applyFill="0" applyAlignment="0" applyProtection="0"/>
    <xf numFmtId="0" fontId="30" fillId="0" borderId="0" applyNumberFormat="0" applyFill="0" applyBorder="0" applyAlignment="0" applyProtection="0"/>
    <xf numFmtId="166"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44" fontId="11" fillId="0" borderId="0" applyFont="0" applyFill="0" applyBorder="0" applyAlignment="0" applyProtection="0"/>
    <xf numFmtId="43" fontId="11" fillId="0" borderId="0" applyFont="0" applyFill="0" applyBorder="0" applyAlignment="0" applyProtection="0"/>
    <xf numFmtId="0" fontId="37" fillId="0" borderId="0"/>
    <xf numFmtId="9" fontId="37" fillId="0" borderId="0" applyFont="0" applyFill="0" applyBorder="0" applyAlignment="0" applyProtection="0"/>
    <xf numFmtId="10" fontId="38" fillId="28" borderId="0" applyFont="0" applyFill="0" applyBorder="0" applyAlignment="0" applyProtection="0"/>
    <xf numFmtId="166" fontId="37" fillId="0" borderId="0" applyFont="0" applyFill="0" applyBorder="0" applyAlignment="0" applyProtection="0"/>
    <xf numFmtId="165" fontId="37" fillId="0" borderId="0" applyFont="0" applyFill="0" applyBorder="0" applyAlignment="0" applyProtection="0"/>
    <xf numFmtId="0" fontId="39" fillId="0" borderId="0"/>
    <xf numFmtId="166" fontId="39" fillId="0" borderId="0" applyFont="0" applyFill="0" applyBorder="0" applyAlignment="0" applyProtection="0"/>
    <xf numFmtId="165" fontId="39" fillId="0" borderId="0" applyFont="0" applyFill="0" applyBorder="0" applyAlignment="0" applyProtection="0"/>
    <xf numFmtId="9" fontId="39" fillId="0" borderId="0" applyFont="0" applyFill="0" applyBorder="0" applyAlignment="0" applyProtection="0"/>
    <xf numFmtId="165" fontId="9" fillId="0" borderId="0" applyFont="0" applyFill="0" applyBorder="0" applyAlignment="0" applyProtection="0"/>
    <xf numFmtId="166"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6"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0" fontId="11" fillId="0" borderId="0"/>
    <xf numFmtId="9" fontId="11" fillId="0" borderId="0" applyFont="0" applyFill="0" applyBorder="0" applyAlignment="0" applyProtection="0"/>
    <xf numFmtId="166" fontId="11" fillId="0" borderId="0" applyFont="0" applyFill="0" applyBorder="0" applyAlignment="0" applyProtection="0"/>
    <xf numFmtId="165" fontId="11" fillId="0" borderId="0" applyFont="0" applyFill="0" applyBorder="0" applyAlignment="0" applyProtection="0"/>
    <xf numFmtId="166" fontId="39" fillId="0" borderId="0" applyFont="0" applyFill="0" applyBorder="0" applyAlignment="0" applyProtection="0"/>
    <xf numFmtId="165" fontId="39" fillId="0" borderId="0" applyFont="0" applyFill="0" applyBorder="0" applyAlignment="0" applyProtection="0"/>
    <xf numFmtId="9" fontId="9" fillId="0" borderId="0" applyFont="0" applyFill="0" applyBorder="0" applyAlignment="0" applyProtection="0"/>
    <xf numFmtId="0" fontId="40" fillId="0" borderId="0"/>
    <xf numFmtId="9" fontId="40" fillId="0" borderId="0" applyFont="0" applyFill="0" applyBorder="0" applyAlignment="0" applyProtection="0"/>
    <xf numFmtId="166" fontId="9" fillId="0" borderId="0" applyFont="0" applyFill="0" applyBorder="0" applyAlignment="0" applyProtection="0"/>
    <xf numFmtId="165" fontId="9" fillId="0" borderId="0" applyFont="0" applyFill="0" applyBorder="0" applyAlignment="0" applyProtection="0"/>
    <xf numFmtId="0" fontId="41" fillId="0" borderId="0" applyNumberFormat="0" applyFill="0" applyBorder="0" applyAlignment="0" applyProtection="0">
      <alignment vertical="top"/>
      <protection locked="0"/>
    </xf>
    <xf numFmtId="0" fontId="9" fillId="0" borderId="0"/>
    <xf numFmtId="166" fontId="9" fillId="0" borderId="0" applyFont="0" applyFill="0" applyBorder="0" applyAlignment="0" applyProtection="0"/>
    <xf numFmtId="9" fontId="9" fillId="0" borderId="0" applyFont="0" applyFill="0" applyBorder="0" applyAlignment="0" applyProtection="0"/>
    <xf numFmtId="165" fontId="9" fillId="0" borderId="0" applyFont="0" applyFill="0" applyBorder="0" applyAlignment="0" applyProtection="0"/>
    <xf numFmtId="0" fontId="11" fillId="0" borderId="0"/>
    <xf numFmtId="166" fontId="9" fillId="0" borderId="0" applyFont="0" applyFill="0" applyBorder="0" applyAlignment="0" applyProtection="0"/>
    <xf numFmtId="165" fontId="9" fillId="0" borderId="0" applyFont="0" applyFill="0" applyBorder="0" applyAlignment="0" applyProtection="0"/>
    <xf numFmtId="0" fontId="11" fillId="0" borderId="0"/>
    <xf numFmtId="166" fontId="11" fillId="0" borderId="0" applyFont="0" applyFill="0" applyBorder="0" applyAlignment="0" applyProtection="0"/>
    <xf numFmtId="0" fontId="9" fillId="0" borderId="0"/>
    <xf numFmtId="165" fontId="9" fillId="0" borderId="0" applyFont="0" applyFill="0" applyBorder="0" applyAlignment="0" applyProtection="0"/>
    <xf numFmtId="0" fontId="18" fillId="21" borderId="39" applyNumberFormat="0" applyAlignment="0" applyProtection="0"/>
    <xf numFmtId="166"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6"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6" fontId="11" fillId="0" borderId="0" applyFont="0" applyFill="0" applyBorder="0" applyAlignment="0" applyProtection="0"/>
    <xf numFmtId="165" fontId="11" fillId="0" borderId="0" applyFont="0" applyFill="0" applyBorder="0" applyAlignment="0" applyProtection="0"/>
    <xf numFmtId="0" fontId="11" fillId="0" borderId="0"/>
    <xf numFmtId="166" fontId="11" fillId="0" borderId="0" applyFont="0" applyFill="0" applyBorder="0" applyAlignment="0" applyProtection="0"/>
    <xf numFmtId="165" fontId="11" fillId="0" borderId="0" applyFont="0" applyFill="0" applyBorder="0" applyAlignment="0" applyProtection="0"/>
    <xf numFmtId="9" fontId="11" fillId="0" borderId="0" applyFont="0" applyFill="0" applyBorder="0" applyAlignment="0" applyProtection="0"/>
    <xf numFmtId="165" fontId="9" fillId="0" borderId="0" applyFont="0" applyFill="0" applyBorder="0" applyAlignment="0" applyProtection="0"/>
    <xf numFmtId="166"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6"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6" fontId="11" fillId="0" borderId="0" applyFont="0" applyFill="0" applyBorder="0" applyAlignment="0" applyProtection="0"/>
    <xf numFmtId="165" fontId="11" fillId="0" borderId="0" applyFont="0" applyFill="0" applyBorder="0" applyAlignment="0" applyProtection="0"/>
    <xf numFmtId="166" fontId="11" fillId="0" borderId="0" applyFont="0" applyFill="0" applyBorder="0" applyAlignment="0" applyProtection="0"/>
    <xf numFmtId="165" fontId="11" fillId="0" borderId="0" applyFont="0" applyFill="0" applyBorder="0" applyAlignment="0" applyProtection="0"/>
    <xf numFmtId="166" fontId="9" fillId="0" borderId="0" applyFont="0" applyFill="0" applyBorder="0" applyAlignment="0" applyProtection="0"/>
    <xf numFmtId="165" fontId="9" fillId="0" borderId="0" applyFont="0" applyFill="0" applyBorder="0" applyAlignment="0" applyProtection="0"/>
    <xf numFmtId="166" fontId="9" fillId="0" borderId="0" applyFont="0" applyFill="0" applyBorder="0" applyAlignment="0" applyProtection="0"/>
    <xf numFmtId="165" fontId="9" fillId="0" borderId="0" applyFont="0" applyFill="0" applyBorder="0" applyAlignment="0" applyProtection="0"/>
    <xf numFmtId="166" fontId="9" fillId="0" borderId="0" applyFont="0" applyFill="0" applyBorder="0" applyAlignment="0" applyProtection="0"/>
    <xf numFmtId="165" fontId="9" fillId="0" borderId="0" applyFont="0" applyFill="0" applyBorder="0" applyAlignment="0" applyProtection="0"/>
    <xf numFmtId="166" fontId="11" fillId="0" borderId="0" applyFont="0" applyFill="0" applyBorder="0" applyAlignment="0" applyProtection="0"/>
    <xf numFmtId="0" fontId="7" fillId="0" borderId="0"/>
    <xf numFmtId="0" fontId="6" fillId="0" borderId="0"/>
    <xf numFmtId="0" fontId="6" fillId="0" borderId="0"/>
    <xf numFmtId="0" fontId="5" fillId="0" borderId="0"/>
    <xf numFmtId="0" fontId="4" fillId="0" borderId="0"/>
    <xf numFmtId="0" fontId="45" fillId="0" borderId="0"/>
    <xf numFmtId="44" fontId="46" fillId="0" borderId="0" applyFont="0" applyFill="0" applyBorder="0" applyAlignment="0" applyProtection="0"/>
    <xf numFmtId="0" fontId="47" fillId="36" borderId="0" applyNumberFormat="0" applyBorder="0" applyAlignment="0" applyProtection="0"/>
    <xf numFmtId="0" fontId="48" fillId="34" borderId="59" applyNumberFormat="0" applyAlignment="0" applyProtection="0"/>
    <xf numFmtId="0" fontId="49" fillId="35" borderId="59" applyNumberFormat="0" applyAlignment="0" applyProtection="0"/>
    <xf numFmtId="0" fontId="46" fillId="0" borderId="0"/>
    <xf numFmtId="43" fontId="11" fillId="0" borderId="0" applyFont="0" applyFill="0" applyBorder="0" applyAlignment="0" applyProtection="0"/>
    <xf numFmtId="165" fontId="9" fillId="0" borderId="0" applyFont="0" applyFill="0" applyBorder="0" applyAlignment="0" applyProtection="0"/>
    <xf numFmtId="166"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6"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6" fontId="11" fillId="0" borderId="0" applyFont="0" applyFill="0" applyBorder="0" applyAlignment="0" applyProtection="0"/>
    <xf numFmtId="165" fontId="11" fillId="0" borderId="0" applyFont="0" applyFill="0" applyBorder="0" applyAlignment="0" applyProtection="0"/>
    <xf numFmtId="166" fontId="11" fillId="0" borderId="0" applyFont="0" applyFill="0" applyBorder="0" applyAlignment="0" applyProtection="0"/>
    <xf numFmtId="165" fontId="11" fillId="0" borderId="0" applyFont="0" applyFill="0" applyBorder="0" applyAlignment="0" applyProtection="0"/>
    <xf numFmtId="165" fontId="9" fillId="0" borderId="0" applyFont="0" applyFill="0" applyBorder="0" applyAlignment="0" applyProtection="0"/>
    <xf numFmtId="166"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6"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6" fontId="11" fillId="0" borderId="0" applyFont="0" applyFill="0" applyBorder="0" applyAlignment="0" applyProtection="0"/>
    <xf numFmtId="165" fontId="11" fillId="0" borderId="0" applyFont="0" applyFill="0" applyBorder="0" applyAlignment="0" applyProtection="0"/>
    <xf numFmtId="166" fontId="11" fillId="0" borderId="0" applyFont="0" applyFill="0" applyBorder="0" applyAlignment="0" applyProtection="0"/>
    <xf numFmtId="165" fontId="11" fillId="0" borderId="0" applyFont="0" applyFill="0" applyBorder="0" applyAlignment="0" applyProtection="0"/>
    <xf numFmtId="166" fontId="9" fillId="0" borderId="0" applyFont="0" applyFill="0" applyBorder="0" applyAlignment="0" applyProtection="0"/>
    <xf numFmtId="165" fontId="9" fillId="0" borderId="0" applyFont="0" applyFill="0" applyBorder="0" applyAlignment="0" applyProtection="0"/>
    <xf numFmtId="166" fontId="9" fillId="0" borderId="0" applyFont="0" applyFill="0" applyBorder="0" applyAlignment="0" applyProtection="0"/>
    <xf numFmtId="165" fontId="9" fillId="0" borderId="0" applyFont="0" applyFill="0" applyBorder="0" applyAlignment="0" applyProtection="0"/>
    <xf numFmtId="166" fontId="9" fillId="0" borderId="0" applyFont="0" applyFill="0" applyBorder="0" applyAlignment="0" applyProtection="0"/>
    <xf numFmtId="165" fontId="9" fillId="0" borderId="0" applyFont="0" applyFill="0" applyBorder="0" applyAlignment="0" applyProtection="0"/>
    <xf numFmtId="166" fontId="11" fillId="0" borderId="0" applyFont="0" applyFill="0" applyBorder="0" applyAlignment="0" applyProtection="0"/>
    <xf numFmtId="165" fontId="9" fillId="0" borderId="0" applyFont="0" applyFill="0" applyBorder="0" applyAlignment="0" applyProtection="0"/>
    <xf numFmtId="166"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6"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6" fontId="11" fillId="0" borderId="0" applyFont="0" applyFill="0" applyBorder="0" applyAlignment="0" applyProtection="0"/>
    <xf numFmtId="165" fontId="11" fillId="0" borderId="0" applyFont="0" applyFill="0" applyBorder="0" applyAlignment="0" applyProtection="0"/>
    <xf numFmtId="166" fontId="11" fillId="0" borderId="0" applyFont="0" applyFill="0" applyBorder="0" applyAlignment="0" applyProtection="0"/>
    <xf numFmtId="165" fontId="11" fillId="0" borderId="0" applyFont="0" applyFill="0" applyBorder="0" applyAlignment="0" applyProtection="0"/>
    <xf numFmtId="165" fontId="9" fillId="0" borderId="0" applyFont="0" applyFill="0" applyBorder="0" applyAlignment="0" applyProtection="0"/>
    <xf numFmtId="166"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6"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6" fontId="11" fillId="0" borderId="0" applyFont="0" applyFill="0" applyBorder="0" applyAlignment="0" applyProtection="0"/>
    <xf numFmtId="165" fontId="11" fillId="0" borderId="0" applyFont="0" applyFill="0" applyBorder="0" applyAlignment="0" applyProtection="0"/>
    <xf numFmtId="166" fontId="11" fillId="0" borderId="0" applyFont="0" applyFill="0" applyBorder="0" applyAlignment="0" applyProtection="0"/>
    <xf numFmtId="165" fontId="11" fillId="0" borderId="0" applyFont="0" applyFill="0" applyBorder="0" applyAlignment="0" applyProtection="0"/>
    <xf numFmtId="166" fontId="9" fillId="0" borderId="0" applyFont="0" applyFill="0" applyBorder="0" applyAlignment="0" applyProtection="0"/>
    <xf numFmtId="165" fontId="9" fillId="0" borderId="0" applyFont="0" applyFill="0" applyBorder="0" applyAlignment="0" applyProtection="0"/>
    <xf numFmtId="166" fontId="9" fillId="0" borderId="0" applyFont="0" applyFill="0" applyBorder="0" applyAlignment="0" applyProtection="0"/>
    <xf numFmtId="165" fontId="9" fillId="0" borderId="0" applyFont="0" applyFill="0" applyBorder="0" applyAlignment="0" applyProtection="0"/>
    <xf numFmtId="166" fontId="9" fillId="0" borderId="0" applyFont="0" applyFill="0" applyBorder="0" applyAlignment="0" applyProtection="0"/>
    <xf numFmtId="165" fontId="9" fillId="0" borderId="0" applyFont="0" applyFill="0" applyBorder="0" applyAlignment="0" applyProtection="0"/>
    <xf numFmtId="166" fontId="11"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165" fontId="46" fillId="0" borderId="0" applyFont="0" applyFill="0" applyBorder="0" applyAlignment="0" applyProtection="0"/>
    <xf numFmtId="166" fontId="11" fillId="0" borderId="0" applyFont="0" applyFill="0" applyBorder="0" applyAlignment="0" applyProtection="0"/>
    <xf numFmtId="44" fontId="9" fillId="0" borderId="0" applyFont="0" applyFill="0" applyBorder="0" applyAlignment="0" applyProtection="0"/>
    <xf numFmtId="165" fontId="9" fillId="0" borderId="0" applyFont="0" applyFill="0" applyBorder="0" applyAlignment="0" applyProtection="0"/>
    <xf numFmtId="0" fontId="2" fillId="0" borderId="0"/>
    <xf numFmtId="9" fontId="2" fillId="0" borderId="0" applyFont="0" applyFill="0" applyBorder="0" applyAlignment="0" applyProtection="0"/>
    <xf numFmtId="165" fontId="2" fillId="0" borderId="0" applyFont="0" applyFill="0" applyBorder="0" applyAlignment="0" applyProtection="0"/>
    <xf numFmtId="0" fontId="56" fillId="0" borderId="0" applyNumberFormat="0" applyFill="0" applyBorder="0" applyAlignment="0" applyProtection="0"/>
    <xf numFmtId="0" fontId="11" fillId="0" borderId="0"/>
    <xf numFmtId="9" fontId="11" fillId="0" borderId="0" applyFont="0" applyFill="0" applyBorder="0" applyAlignment="0" applyProtection="0"/>
    <xf numFmtId="43" fontId="9" fillId="0" borderId="0" applyFont="0" applyFill="0" applyBorder="0" applyAlignment="0" applyProtection="0"/>
    <xf numFmtId="0" fontId="1" fillId="0" borderId="0"/>
    <xf numFmtId="165" fontId="1" fillId="0" borderId="0" applyFont="0" applyFill="0" applyBorder="0" applyAlignment="0" applyProtection="0"/>
    <xf numFmtId="9" fontId="1" fillId="0" borderId="0" applyFont="0" applyFill="0" applyBorder="0" applyAlignment="0" applyProtection="0"/>
    <xf numFmtId="9" fontId="9" fillId="0" borderId="0" applyFont="0" applyFill="0" applyBorder="0" applyAlignment="0" applyProtection="0"/>
    <xf numFmtId="43" fontId="9" fillId="0" borderId="0" applyFont="0" applyFill="0" applyBorder="0" applyAlignment="0" applyProtection="0"/>
    <xf numFmtId="0" fontId="52" fillId="0" borderId="0"/>
    <xf numFmtId="43" fontId="52" fillId="0" borderId="0" applyFont="0" applyFill="0" applyBorder="0" applyAlignment="0" applyProtection="0"/>
    <xf numFmtId="0" fontId="11" fillId="0" borderId="0"/>
    <xf numFmtId="0" fontId="38" fillId="43" borderId="0">
      <alignment horizontal="left" indent="6"/>
    </xf>
    <xf numFmtId="166" fontId="11" fillId="0" borderId="0" applyFont="0" applyFill="0" applyBorder="0" applyAlignment="0" applyProtection="0"/>
    <xf numFmtId="9" fontId="11" fillId="0" borderId="0" applyFont="0" applyFill="0" applyBorder="0" applyAlignment="0" applyProtection="0"/>
    <xf numFmtId="0" fontId="11" fillId="0" borderId="0"/>
    <xf numFmtId="166" fontId="9" fillId="0" borderId="0" applyFont="0" applyFill="0" applyBorder="0" applyAlignment="0" applyProtection="0"/>
  </cellStyleXfs>
  <cellXfs count="532">
    <xf numFmtId="0" fontId="0" fillId="0" borderId="0" xfId="0"/>
    <xf numFmtId="0" fontId="0" fillId="0" borderId="0" xfId="0" applyAlignment="1">
      <alignment horizontal="right"/>
    </xf>
    <xf numFmtId="0" fontId="10" fillId="0" borderId="0" xfId="0" applyFont="1"/>
    <xf numFmtId="0" fontId="0" fillId="0" borderId="0" xfId="0" applyAlignment="1">
      <alignment horizontal="center"/>
    </xf>
    <xf numFmtId="165" fontId="0" fillId="0" borderId="0" xfId="0" applyNumberFormat="1"/>
    <xf numFmtId="0" fontId="13" fillId="25" borderId="7" xfId="0" quotePrefix="1" applyFont="1" applyFill="1" applyBorder="1" applyAlignment="1">
      <alignment horizontal="center" vertical="center"/>
    </xf>
    <xf numFmtId="0" fontId="31" fillId="25" borderId="19" xfId="0" applyFont="1" applyFill="1" applyBorder="1"/>
    <xf numFmtId="167" fontId="34" fillId="25" borderId="19" xfId="1" applyNumberFormat="1" applyFont="1" applyFill="1" applyBorder="1"/>
    <xf numFmtId="0" fontId="12" fillId="25" borderId="26" xfId="0" applyFont="1" applyFill="1" applyBorder="1" applyAlignment="1" applyProtection="1">
      <alignment horizontal="center" vertical="center" wrapText="1"/>
      <protection locked="0"/>
    </xf>
    <xf numFmtId="0" fontId="12" fillId="25" borderId="27" xfId="0" applyFont="1" applyFill="1" applyBorder="1" applyAlignment="1" applyProtection="1">
      <alignment horizontal="center" vertical="center" wrapText="1"/>
      <protection locked="0"/>
    </xf>
    <xf numFmtId="165" fontId="0" fillId="0" borderId="0" xfId="0" applyNumberFormat="1" applyAlignment="1">
      <alignment horizontal="right"/>
    </xf>
    <xf numFmtId="0" fontId="12" fillId="25" borderId="27" xfId="0" applyFont="1" applyFill="1" applyBorder="1" applyAlignment="1" applyProtection="1">
      <alignment horizontal="right" vertical="center" wrapText="1"/>
      <protection locked="0"/>
    </xf>
    <xf numFmtId="167" fontId="34" fillId="25" borderId="19" xfId="1" applyNumberFormat="1" applyFont="1" applyFill="1" applyBorder="1" applyAlignment="1">
      <alignment horizontal="right"/>
    </xf>
    <xf numFmtId="0" fontId="9" fillId="0" borderId="0" xfId="87"/>
    <xf numFmtId="0" fontId="32" fillId="0" borderId="0" xfId="0" applyFont="1"/>
    <xf numFmtId="0" fontId="0" fillId="0" borderId="0" xfId="87" applyFont="1"/>
    <xf numFmtId="0" fontId="10" fillId="0" borderId="0" xfId="0" applyFont="1" applyAlignment="1">
      <alignment horizontal="center"/>
    </xf>
    <xf numFmtId="0" fontId="35" fillId="26" borderId="3" xfId="0" applyFont="1" applyFill="1" applyBorder="1" applyAlignment="1">
      <alignment horizontal="center"/>
    </xf>
    <xf numFmtId="0" fontId="35" fillId="26" borderId="29" xfId="0" applyFont="1" applyFill="1" applyBorder="1" applyAlignment="1">
      <alignment horizontal="center"/>
    </xf>
    <xf numFmtId="0" fontId="35" fillId="26" borderId="1" xfId="0" applyFont="1" applyFill="1" applyBorder="1" applyAlignment="1">
      <alignment horizontal="center"/>
    </xf>
    <xf numFmtId="0" fontId="35" fillId="26" borderId="2" xfId="0" applyFont="1" applyFill="1" applyBorder="1" applyAlignment="1">
      <alignment horizontal="center"/>
    </xf>
    <xf numFmtId="0" fontId="35" fillId="26" borderId="4" xfId="0" applyFont="1" applyFill="1" applyBorder="1" applyAlignment="1">
      <alignment horizontal="center"/>
    </xf>
    <xf numFmtId="0" fontId="35" fillId="26" borderId="5" xfId="0" applyFont="1" applyFill="1" applyBorder="1" applyAlignment="1">
      <alignment horizontal="center"/>
    </xf>
    <xf numFmtId="42" fontId="35" fillId="26" borderId="5" xfId="55" applyNumberFormat="1" applyFont="1" applyFill="1" applyBorder="1" applyAlignment="1">
      <alignment horizontal="center"/>
    </xf>
    <xf numFmtId="0" fontId="35" fillId="26" borderId="42" xfId="0" applyFont="1" applyFill="1" applyBorder="1" applyAlignment="1">
      <alignment horizontal="center"/>
    </xf>
    <xf numFmtId="0" fontId="35" fillId="26" borderId="43" xfId="0" applyFont="1" applyFill="1" applyBorder="1" applyAlignment="1">
      <alignment horizontal="center"/>
    </xf>
    <xf numFmtId="0" fontId="35" fillId="26" borderId="28" xfId="0" applyFont="1" applyFill="1" applyBorder="1" applyAlignment="1">
      <alignment horizontal="center"/>
    </xf>
    <xf numFmtId="165" fontId="0" fillId="26" borderId="6" xfId="0" applyNumberFormat="1" applyFill="1" applyBorder="1" applyAlignment="1">
      <alignment horizontal="center" vertical="center"/>
    </xf>
    <xf numFmtId="165" fontId="11" fillId="0" borderId="0" xfId="1" applyFont="1" applyFill="1" applyBorder="1" applyAlignment="1" applyProtection="1">
      <alignment vertical="center" wrapText="1"/>
    </xf>
    <xf numFmtId="165" fontId="11" fillId="0" borderId="0" xfId="1" applyFont="1" applyFill="1" applyBorder="1" applyAlignment="1" applyProtection="1">
      <alignment horizontal="center" vertical="center" wrapText="1"/>
    </xf>
    <xf numFmtId="165" fontId="12" fillId="0" borderId="0" xfId="1" applyFont="1" applyFill="1" applyBorder="1" applyAlignment="1" applyProtection="1">
      <alignment vertical="center" wrapText="1"/>
    </xf>
    <xf numFmtId="0" fontId="0" fillId="0" borderId="0" xfId="0" applyAlignment="1">
      <alignment horizontal="center" vertical="center"/>
    </xf>
    <xf numFmtId="165" fontId="0" fillId="26" borderId="36" xfId="0" applyNumberFormat="1" applyFill="1" applyBorder="1" applyAlignment="1">
      <alignment horizontal="center" vertical="center"/>
    </xf>
    <xf numFmtId="0" fontId="12" fillId="25" borderId="44" xfId="0" applyFont="1" applyFill="1" applyBorder="1" applyAlignment="1" applyProtection="1">
      <alignment horizontal="center" vertical="center" wrapText="1"/>
      <protection locked="0"/>
    </xf>
    <xf numFmtId="0" fontId="0" fillId="25" borderId="28" xfId="0" applyFill="1" applyBorder="1"/>
    <xf numFmtId="0" fontId="0" fillId="25" borderId="0" xfId="0" applyFill="1" applyAlignment="1">
      <alignment horizontal="center" vertical="center"/>
    </xf>
    <xf numFmtId="0" fontId="0" fillId="25" borderId="22" xfId="0" applyFill="1" applyBorder="1"/>
    <xf numFmtId="0" fontId="32" fillId="25" borderId="22" xfId="0" applyFont="1" applyFill="1" applyBorder="1" applyAlignment="1">
      <alignment horizontal="right"/>
    </xf>
    <xf numFmtId="0" fontId="0" fillId="25" borderId="33" xfId="0" applyFill="1" applyBorder="1"/>
    <xf numFmtId="170" fontId="0" fillId="25" borderId="0" xfId="1" applyNumberFormat="1" applyFont="1" applyFill="1" applyBorder="1" applyAlignment="1">
      <alignment vertical="center"/>
    </xf>
    <xf numFmtId="167" fontId="43" fillId="0" borderId="0" xfId="1" applyNumberFormat="1" applyFont="1" applyFill="1" applyBorder="1"/>
    <xf numFmtId="165" fontId="12" fillId="26" borderId="2" xfId="0" applyNumberFormat="1" applyFont="1" applyFill="1" applyBorder="1" applyAlignment="1">
      <alignment horizontal="center" vertical="center" wrapText="1"/>
    </xf>
    <xf numFmtId="165" fontId="12" fillId="26" borderId="5" xfId="0" applyNumberFormat="1" applyFont="1" applyFill="1" applyBorder="1" applyAlignment="1">
      <alignment horizontal="center" vertical="center" wrapText="1"/>
    </xf>
    <xf numFmtId="171" fontId="0" fillId="0" borderId="0" xfId="0" applyNumberFormat="1"/>
    <xf numFmtId="0" fontId="13" fillId="25" borderId="41" xfId="0" quotePrefix="1" applyFont="1" applyFill="1" applyBorder="1" applyAlignment="1">
      <alignment horizontal="center" vertical="center"/>
    </xf>
    <xf numFmtId="0" fontId="13" fillId="25" borderId="41" xfId="0" quotePrefix="1" applyFont="1" applyFill="1" applyBorder="1" applyAlignment="1">
      <alignment horizontal="right"/>
    </xf>
    <xf numFmtId="0" fontId="0" fillId="25" borderId="41" xfId="0" applyFill="1" applyBorder="1"/>
    <xf numFmtId="0" fontId="8" fillId="26" borderId="29" xfId="0" applyFont="1" applyFill="1" applyBorder="1" applyAlignment="1">
      <alignment horizontal="center"/>
    </xf>
    <xf numFmtId="0" fontId="35" fillId="26" borderId="5" xfId="0" applyFont="1" applyFill="1" applyBorder="1" applyAlignment="1">
      <alignment horizontal="center" vertical="top" wrapText="1"/>
    </xf>
    <xf numFmtId="10" fontId="10" fillId="0" borderId="0" xfId="0" applyNumberFormat="1" applyFont="1" applyAlignment="1">
      <alignment horizontal="center"/>
    </xf>
    <xf numFmtId="0" fontId="43" fillId="0" borderId="0" xfId="0" applyFont="1"/>
    <xf numFmtId="0" fontId="33" fillId="0" borderId="0" xfId="87" applyFont="1"/>
    <xf numFmtId="2" fontId="33" fillId="0" borderId="18" xfId="87" applyNumberFormat="1" applyFont="1" applyBorder="1" applyAlignment="1">
      <alignment horizontal="center" vertical="center"/>
    </xf>
    <xf numFmtId="0" fontId="33" fillId="0" borderId="0" xfId="87" applyFont="1" applyAlignment="1">
      <alignment horizontal="center"/>
    </xf>
    <xf numFmtId="0" fontId="53" fillId="0" borderId="0" xfId="0" applyFont="1"/>
    <xf numFmtId="169" fontId="9" fillId="0" borderId="0" xfId="87" applyNumberFormat="1"/>
    <xf numFmtId="0" fontId="54" fillId="0" borderId="0" xfId="220" applyFont="1"/>
    <xf numFmtId="0" fontId="55" fillId="0" borderId="0" xfId="220" applyFont="1"/>
    <xf numFmtId="0" fontId="55" fillId="0" borderId="0" xfId="220" quotePrefix="1" applyFont="1"/>
    <xf numFmtId="0" fontId="55" fillId="0" borderId="0" xfId="220" applyFont="1" applyAlignment="1">
      <alignment horizontal="center" vertical="center"/>
    </xf>
    <xf numFmtId="0" fontId="55" fillId="0" borderId="0" xfId="220" applyFont="1" applyAlignment="1">
      <alignment horizontal="left" vertical="center"/>
    </xf>
    <xf numFmtId="165" fontId="55" fillId="0" borderId="0" xfId="1" applyFont="1"/>
    <xf numFmtId="0" fontId="55" fillId="0" borderId="65" xfId="220" applyFont="1" applyBorder="1" applyAlignment="1">
      <alignment horizontal="center" vertical="center"/>
    </xf>
    <xf numFmtId="0" fontId="55" fillId="0" borderId="65" xfId="220" applyFont="1" applyBorder="1" applyAlignment="1">
      <alignment horizontal="left" vertical="center"/>
    </xf>
    <xf numFmtId="0" fontId="54" fillId="0" borderId="0" xfId="220" applyFont="1" applyAlignment="1">
      <alignment horizontal="center" vertical="center"/>
    </xf>
    <xf numFmtId="0" fontId="54" fillId="0" borderId="0" xfId="220" applyFont="1" applyAlignment="1">
      <alignment horizontal="left" vertical="center"/>
    </xf>
    <xf numFmtId="0" fontId="54" fillId="0" borderId="0" xfId="220" applyFont="1" applyAlignment="1">
      <alignment horizontal="center" vertical="center" wrapText="1"/>
    </xf>
    <xf numFmtId="44" fontId="55" fillId="0" borderId="0" xfId="220" applyNumberFormat="1" applyFont="1"/>
    <xf numFmtId="0" fontId="35" fillId="26" borderId="4" xfId="0" applyFont="1" applyFill="1" applyBorder="1" applyAlignment="1">
      <alignment horizontal="center" wrapText="1"/>
    </xf>
    <xf numFmtId="0" fontId="57" fillId="0" borderId="0" xfId="220" applyFont="1"/>
    <xf numFmtId="170" fontId="55" fillId="0" borderId="0" xfId="220" applyNumberFormat="1" applyFont="1" applyAlignment="1">
      <alignment horizontal="center"/>
    </xf>
    <xf numFmtId="0" fontId="10" fillId="33" borderId="40" xfId="0" applyFont="1" applyFill="1" applyBorder="1" applyAlignment="1">
      <alignment horizontal="center"/>
    </xf>
    <xf numFmtId="9" fontId="11" fillId="33" borderId="41" xfId="81" applyFont="1" applyFill="1" applyBorder="1" applyAlignment="1" applyProtection="1">
      <alignment horizontal="center" vertical="center" wrapText="1"/>
    </xf>
    <xf numFmtId="9" fontId="11" fillId="33" borderId="60" xfId="81" applyFont="1" applyFill="1" applyBorder="1" applyAlignment="1" applyProtection="1">
      <alignment horizontal="center" vertical="center" wrapText="1"/>
    </xf>
    <xf numFmtId="0" fontId="12" fillId="25" borderId="25" xfId="0" applyFont="1" applyFill="1" applyBorder="1" applyAlignment="1">
      <alignment vertical="center"/>
    </xf>
    <xf numFmtId="0" fontId="12" fillId="25" borderId="0" xfId="0" applyFont="1" applyFill="1" applyAlignment="1">
      <alignment vertical="center"/>
    </xf>
    <xf numFmtId="0" fontId="12" fillId="25" borderId="0" xfId="0" applyFont="1" applyFill="1" applyAlignment="1">
      <alignment horizontal="center" vertical="center"/>
    </xf>
    <xf numFmtId="10" fontId="36" fillId="26" borderId="5" xfId="225" applyNumberFormat="1" applyFont="1" applyFill="1" applyBorder="1" applyAlignment="1">
      <alignment horizontal="center"/>
    </xf>
    <xf numFmtId="168" fontId="35" fillId="26" borderId="3" xfId="225" applyNumberFormat="1" applyFont="1" applyFill="1" applyBorder="1" applyAlignment="1">
      <alignment horizontal="center"/>
    </xf>
    <xf numFmtId="0" fontId="8" fillId="26" borderId="4" xfId="0" applyFont="1" applyFill="1" applyBorder="1" applyAlignment="1">
      <alignment horizontal="center"/>
    </xf>
    <xf numFmtId="9" fontId="35" fillId="26" borderId="5" xfId="225" applyFont="1" applyFill="1" applyBorder="1" applyAlignment="1">
      <alignment horizontal="center"/>
    </xf>
    <xf numFmtId="10" fontId="59" fillId="38" borderId="3" xfId="225" applyNumberFormat="1" applyFont="1" applyFill="1" applyBorder="1" applyAlignment="1">
      <alignment horizontal="center"/>
    </xf>
    <xf numFmtId="171" fontId="60" fillId="29" borderId="18" xfId="1" applyNumberFormat="1" applyFont="1" applyFill="1" applyBorder="1"/>
    <xf numFmtId="0" fontId="62" fillId="25" borderId="18" xfId="0" applyFont="1" applyFill="1" applyBorder="1" applyAlignment="1" applyProtection="1">
      <alignment horizontal="center" vertical="center"/>
      <protection locked="0"/>
    </xf>
    <xf numFmtId="0" fontId="62" fillId="25" borderId="20" xfId="0" applyFont="1" applyFill="1" applyBorder="1" applyAlignment="1" applyProtection="1">
      <alignment horizontal="center" vertical="center"/>
      <protection locked="0"/>
    </xf>
    <xf numFmtId="167" fontId="62" fillId="0" borderId="21" xfId="1" applyNumberFormat="1" applyFont="1" applyFill="1" applyBorder="1" applyAlignment="1" applyProtection="1">
      <alignment horizontal="center" vertical="center" wrapText="1"/>
      <protection locked="0"/>
    </xf>
    <xf numFmtId="167" fontId="63" fillId="25" borderId="21" xfId="0" applyNumberFormat="1" applyFont="1" applyFill="1" applyBorder="1" applyAlignment="1" applyProtection="1">
      <alignment vertical="center"/>
      <protection locked="0"/>
    </xf>
    <xf numFmtId="9" fontId="62" fillId="0" borderId="21" xfId="81" applyFont="1" applyFill="1" applyBorder="1" applyAlignment="1" applyProtection="1">
      <alignment horizontal="center" vertical="center" wrapText="1"/>
    </xf>
    <xf numFmtId="167" fontId="63" fillId="25" borderId="18" xfId="0" applyNumberFormat="1" applyFont="1" applyFill="1" applyBorder="1" applyAlignment="1" applyProtection="1">
      <alignment vertical="center"/>
      <protection locked="0"/>
    </xf>
    <xf numFmtId="167" fontId="63" fillId="0" borderId="21" xfId="0" applyNumberFormat="1" applyFont="1" applyBorder="1" applyAlignment="1" applyProtection="1">
      <alignment vertical="center"/>
      <protection locked="0"/>
    </xf>
    <xf numFmtId="167" fontId="63" fillId="0" borderId="18" xfId="0" applyNumberFormat="1" applyFont="1" applyBorder="1" applyAlignment="1" applyProtection="1">
      <alignment vertical="center"/>
      <protection locked="0"/>
    </xf>
    <xf numFmtId="165" fontId="62" fillId="25" borderId="18" xfId="1" applyFont="1" applyFill="1" applyBorder="1" applyAlignment="1" applyProtection="1">
      <alignment horizontal="center" vertical="center"/>
      <protection locked="0"/>
    </xf>
    <xf numFmtId="9" fontId="62" fillId="25" borderId="18" xfId="81" applyFont="1" applyFill="1" applyBorder="1" applyAlignment="1" applyProtection="1">
      <alignment horizontal="center" vertical="center"/>
      <protection locked="0"/>
    </xf>
    <xf numFmtId="165" fontId="62" fillId="0" borderId="18" xfId="1" applyFont="1" applyFill="1" applyBorder="1" applyAlignment="1" applyProtection="1">
      <alignment horizontal="center" vertical="center"/>
      <protection locked="0"/>
    </xf>
    <xf numFmtId="9" fontId="62" fillId="0" borderId="18" xfId="81" applyFont="1" applyFill="1" applyBorder="1" applyAlignment="1" applyProtection="1">
      <alignment horizontal="center" vertical="center"/>
      <protection locked="0"/>
    </xf>
    <xf numFmtId="0" fontId="35" fillId="0" borderId="0" xfId="0" applyFont="1" applyAlignment="1">
      <alignment horizontal="center"/>
    </xf>
    <xf numFmtId="0" fontId="35" fillId="0" borderId="0" xfId="0" applyFont="1" applyAlignment="1">
      <alignment horizontal="center" wrapText="1"/>
    </xf>
    <xf numFmtId="0" fontId="8" fillId="0" borderId="0" xfId="0" applyFont="1" applyAlignment="1">
      <alignment horizontal="center"/>
    </xf>
    <xf numFmtId="164" fontId="0" fillId="0" borderId="0" xfId="0" applyNumberFormat="1"/>
    <xf numFmtId="171" fontId="8" fillId="0" borderId="0" xfId="1" applyNumberFormat="1" applyFont="1" applyBorder="1"/>
    <xf numFmtId="171" fontId="8" fillId="0" borderId="0" xfId="56" applyNumberFormat="1" applyFont="1" applyBorder="1"/>
    <xf numFmtId="2" fontId="58" fillId="0" borderId="0" xfId="226" applyNumberFormat="1" applyFont="1" applyBorder="1" applyAlignment="1">
      <alignment horizontal="center"/>
    </xf>
    <xf numFmtId="9" fontId="58" fillId="0" borderId="0" xfId="81" applyFont="1" applyBorder="1" applyAlignment="1">
      <alignment horizontal="center"/>
    </xf>
    <xf numFmtId="171" fontId="8" fillId="0" borderId="0" xfId="56" applyNumberFormat="1" applyFont="1" applyFill="1" applyBorder="1"/>
    <xf numFmtId="171" fontId="31" fillId="0" borderId="0" xfId="0" applyNumberFormat="1" applyFont="1"/>
    <xf numFmtId="171" fontId="8" fillId="0" borderId="0" xfId="0" applyNumberFormat="1" applyFont="1"/>
    <xf numFmtId="170" fontId="0" fillId="25" borderId="22" xfId="0" applyNumberFormat="1" applyFill="1" applyBorder="1"/>
    <xf numFmtId="0" fontId="62" fillId="0" borderId="18" xfId="0" applyFont="1" applyBorder="1" applyAlignment="1" applyProtection="1">
      <alignment horizontal="center" vertical="center"/>
      <protection locked="0"/>
    </xf>
    <xf numFmtId="0" fontId="62" fillId="0" borderId="20" xfId="0" applyFont="1" applyBorder="1" applyAlignment="1" applyProtection="1">
      <alignment horizontal="center" vertical="center"/>
      <protection locked="0"/>
    </xf>
    <xf numFmtId="165" fontId="55" fillId="0" borderId="0" xfId="220" applyNumberFormat="1" applyFont="1" applyAlignment="1">
      <alignment horizontal="left" vertical="center"/>
    </xf>
    <xf numFmtId="0" fontId="55" fillId="0" borderId="0" xfId="227" applyFont="1"/>
    <xf numFmtId="165" fontId="55" fillId="0" borderId="0" xfId="228" applyFont="1"/>
    <xf numFmtId="0" fontId="55" fillId="0" borderId="0" xfId="227" applyFont="1" applyAlignment="1">
      <alignment vertical="center" wrapText="1"/>
    </xf>
    <xf numFmtId="0" fontId="54" fillId="0" borderId="0" xfId="227" applyFont="1" applyAlignment="1">
      <alignment horizontal="center" vertical="center" wrapText="1"/>
    </xf>
    <xf numFmtId="170" fontId="55" fillId="0" borderId="0" xfId="227" applyNumberFormat="1" applyFont="1"/>
    <xf numFmtId="0" fontId="42" fillId="32" borderId="18" xfId="75" applyFont="1" applyFill="1" applyBorder="1" applyAlignment="1">
      <alignment horizontal="center" vertical="center" wrapText="1"/>
    </xf>
    <xf numFmtId="10" fontId="33" fillId="0" borderId="18" xfId="230" applyNumberFormat="1" applyFont="1" applyFill="1" applyBorder="1" applyAlignment="1">
      <alignment horizontal="center" vertical="center" wrapText="1"/>
    </xf>
    <xf numFmtId="169" fontId="33" fillId="0" borderId="18" xfId="231" applyNumberFormat="1" applyFont="1" applyFill="1" applyBorder="1" applyAlignment="1">
      <alignment horizontal="center" vertical="center" wrapText="1"/>
    </xf>
    <xf numFmtId="43" fontId="33" fillId="0" borderId="18" xfId="231" applyFont="1" applyFill="1" applyBorder="1" applyAlignment="1">
      <alignment horizontal="center" vertical="center" wrapText="1"/>
    </xf>
    <xf numFmtId="10" fontId="33" fillId="0" borderId="38" xfId="230" applyNumberFormat="1" applyFont="1" applyFill="1" applyBorder="1" applyAlignment="1">
      <alignment horizontal="center" vertical="center" wrapText="1"/>
    </xf>
    <xf numFmtId="169" fontId="33" fillId="0" borderId="38" xfId="231" applyNumberFormat="1" applyFont="1" applyFill="1" applyBorder="1" applyAlignment="1">
      <alignment horizontal="center" vertical="center" wrapText="1"/>
    </xf>
    <xf numFmtId="43" fontId="33" fillId="0" borderId="38" xfId="231" applyFont="1" applyFill="1" applyBorder="1" applyAlignment="1">
      <alignment horizontal="center" vertical="center" wrapText="1"/>
    </xf>
    <xf numFmtId="2" fontId="33" fillId="0" borderId="38" xfId="87" applyNumberFormat="1" applyFont="1" applyBorder="1" applyAlignment="1">
      <alignment horizontal="center" vertical="center"/>
    </xf>
    <xf numFmtId="0" fontId="33" fillId="0" borderId="30" xfId="87" applyFont="1" applyBorder="1" applyAlignment="1">
      <alignment horizontal="center" vertical="center" wrapText="1"/>
    </xf>
    <xf numFmtId="10" fontId="33" fillId="0" borderId="31" xfId="230" applyNumberFormat="1" applyFont="1" applyFill="1" applyBorder="1" applyAlignment="1">
      <alignment horizontal="center" vertical="center" wrapText="1"/>
    </xf>
    <xf numFmtId="169" fontId="33" fillId="0" borderId="31" xfId="231" applyNumberFormat="1" applyFont="1" applyFill="1" applyBorder="1" applyAlignment="1">
      <alignment horizontal="center" vertical="center" wrapText="1"/>
    </xf>
    <xf numFmtId="43" fontId="33" fillId="0" borderId="31" xfId="231" applyFont="1" applyFill="1" applyBorder="1" applyAlignment="1">
      <alignment horizontal="center" vertical="center" wrapText="1"/>
    </xf>
    <xf numFmtId="2" fontId="33" fillId="0" borderId="31" xfId="87" applyNumberFormat="1" applyFont="1" applyBorder="1" applyAlignment="1">
      <alignment horizontal="center" vertical="center"/>
    </xf>
    <xf numFmtId="2" fontId="33" fillId="0" borderId="63" xfId="87" applyNumberFormat="1" applyFont="1" applyBorder="1" applyAlignment="1">
      <alignment horizontal="center" vertical="center"/>
    </xf>
    <xf numFmtId="0" fontId="33" fillId="0" borderId="32" xfId="87" applyFont="1" applyBorder="1" applyAlignment="1">
      <alignment horizontal="center" vertical="center" wrapText="1"/>
    </xf>
    <xf numFmtId="2" fontId="33" fillId="0" borderId="33" xfId="87" applyNumberFormat="1" applyFont="1" applyBorder="1" applyAlignment="1">
      <alignment horizontal="center" vertical="center"/>
    </xf>
    <xf numFmtId="0" fontId="65" fillId="0" borderId="0" xfId="87" applyFont="1" applyAlignment="1">
      <alignment horizontal="left" wrapText="1"/>
    </xf>
    <xf numFmtId="165" fontId="55" fillId="24" borderId="65" xfId="220" applyNumberFormat="1" applyFont="1" applyFill="1" applyBorder="1" applyAlignment="1">
      <alignment horizontal="left" vertical="center"/>
    </xf>
    <xf numFmtId="171" fontId="60" fillId="29" borderId="38" xfId="1" applyNumberFormat="1" applyFont="1" applyFill="1" applyBorder="1"/>
    <xf numFmtId="171" fontId="8" fillId="39" borderId="18" xfId="56" applyNumberFormat="1" applyFont="1" applyFill="1" applyBorder="1"/>
    <xf numFmtId="171" fontId="60" fillId="39" borderId="18" xfId="1" applyNumberFormat="1" applyFont="1" applyFill="1" applyBorder="1"/>
    <xf numFmtId="1" fontId="58" fillId="39" borderId="18" xfId="226" applyNumberFormat="1" applyFont="1" applyFill="1" applyBorder="1" applyAlignment="1">
      <alignment horizontal="center"/>
    </xf>
    <xf numFmtId="9" fontId="58" fillId="39" borderId="18" xfId="81" applyFont="1" applyFill="1" applyBorder="1" applyAlignment="1">
      <alignment horizontal="center"/>
    </xf>
    <xf numFmtId="165" fontId="55" fillId="24" borderId="0" xfId="220" applyNumberFormat="1" applyFont="1" applyFill="1" applyAlignment="1">
      <alignment horizontal="center" vertical="center"/>
    </xf>
    <xf numFmtId="0" fontId="8" fillId="27" borderId="18" xfId="0" applyFont="1" applyFill="1" applyBorder="1" applyAlignment="1" applyProtection="1">
      <alignment horizontal="center" vertical="center"/>
      <protection locked="0"/>
    </xf>
    <xf numFmtId="0" fontId="8" fillId="27" borderId="21" xfId="43" applyFont="1" applyFill="1" applyBorder="1" applyAlignment="1">
      <alignment horizontal="center" vertical="center" wrapText="1"/>
    </xf>
    <xf numFmtId="0" fontId="8" fillId="27" borderId="20" xfId="0" applyFont="1" applyFill="1" applyBorder="1" applyAlignment="1" applyProtection="1">
      <alignment horizontal="center" vertical="center"/>
      <protection locked="0"/>
    </xf>
    <xf numFmtId="165" fontId="8" fillId="27" borderId="21" xfId="1" applyFont="1" applyFill="1" applyBorder="1" applyAlignment="1" applyProtection="1">
      <alignment horizontal="center" vertical="center" wrapText="1"/>
    </xf>
    <xf numFmtId="167" fontId="8" fillId="27" borderId="21" xfId="1" applyNumberFormat="1" applyFont="1" applyFill="1" applyBorder="1" applyAlignment="1" applyProtection="1">
      <alignment horizontal="center" vertical="center" wrapText="1"/>
      <protection locked="0"/>
    </xf>
    <xf numFmtId="167" fontId="33" fillId="27" borderId="21" xfId="0" applyNumberFormat="1" applyFont="1" applyFill="1" applyBorder="1" applyAlignment="1" applyProtection="1">
      <alignment vertical="center"/>
      <protection locked="0"/>
    </xf>
    <xf numFmtId="9" fontId="8" fillId="27" borderId="21" xfId="81" applyFont="1" applyFill="1" applyBorder="1" applyAlignment="1" applyProtection="1">
      <alignment horizontal="center" vertical="center" wrapText="1"/>
    </xf>
    <xf numFmtId="9" fontId="8" fillId="27" borderId="18" xfId="81" applyFont="1" applyFill="1" applyBorder="1" applyAlignment="1" applyProtection="1">
      <alignment horizontal="center" vertical="center" wrapText="1"/>
    </xf>
    <xf numFmtId="167" fontId="33" fillId="27" borderId="18" xfId="0" applyNumberFormat="1" applyFont="1" applyFill="1" applyBorder="1" applyAlignment="1" applyProtection="1">
      <alignment vertical="center"/>
      <protection locked="0"/>
    </xf>
    <xf numFmtId="0" fontId="50" fillId="0" borderId="0" xfId="75" applyFont="1" applyAlignment="1">
      <alignment horizontal="center"/>
    </xf>
    <xf numFmtId="0" fontId="42" fillId="0" borderId="0" xfId="75" applyFont="1" applyAlignment="1">
      <alignment horizontal="center" vertical="center" wrapText="1"/>
    </xf>
    <xf numFmtId="2" fontId="33" fillId="0" borderId="0" xfId="87" applyNumberFormat="1" applyFont="1" applyAlignment="1">
      <alignment horizontal="center" vertical="center"/>
    </xf>
    <xf numFmtId="0" fontId="51" fillId="0" borderId="0" xfId="87" applyFont="1"/>
    <xf numFmtId="0" fontId="42" fillId="0" borderId="30" xfId="87" applyFont="1" applyBorder="1" applyAlignment="1">
      <alignment horizontal="center" vertical="center" wrapText="1"/>
    </xf>
    <xf numFmtId="0" fontId="42" fillId="0" borderId="32" xfId="87" applyFont="1" applyBorder="1" applyAlignment="1">
      <alignment horizontal="center" vertical="center" wrapText="1"/>
    </xf>
    <xf numFmtId="0" fontId="42" fillId="32" borderId="32" xfId="75" applyFont="1" applyFill="1" applyBorder="1" applyAlignment="1">
      <alignment horizontal="center" vertical="center" wrapText="1"/>
    </xf>
    <xf numFmtId="0" fontId="42" fillId="32" borderId="33" xfId="75" applyFont="1" applyFill="1" applyBorder="1" applyAlignment="1">
      <alignment horizontal="center" vertical="center" wrapText="1"/>
    </xf>
    <xf numFmtId="0" fontId="33" fillId="0" borderId="34" xfId="87" applyFont="1" applyBorder="1" applyAlignment="1">
      <alignment horizontal="center" vertical="center" wrapText="1"/>
    </xf>
    <xf numFmtId="10" fontId="33" fillId="0" borderId="35" xfId="230" applyNumberFormat="1" applyFont="1" applyFill="1" applyBorder="1" applyAlignment="1">
      <alignment horizontal="center" vertical="center" wrapText="1"/>
    </xf>
    <xf numFmtId="169" fontId="33" fillId="0" borderId="35" xfId="231" applyNumberFormat="1" applyFont="1" applyFill="1" applyBorder="1" applyAlignment="1">
      <alignment horizontal="center" vertical="center" wrapText="1"/>
    </xf>
    <xf numFmtId="43" fontId="33" fillId="0" borderId="35" xfId="231" applyFont="1" applyFill="1" applyBorder="1" applyAlignment="1">
      <alignment horizontal="center" vertical="center" wrapText="1"/>
    </xf>
    <xf numFmtId="2" fontId="33" fillId="0" borderId="35" xfId="87" applyNumberFormat="1" applyFont="1" applyBorder="1" applyAlignment="1">
      <alignment horizontal="center" vertical="center"/>
    </xf>
    <xf numFmtId="2" fontId="33" fillId="0" borderId="64" xfId="87" applyNumberFormat="1" applyFont="1" applyBorder="1" applyAlignment="1">
      <alignment horizontal="center" vertical="center"/>
    </xf>
    <xf numFmtId="0" fontId="8" fillId="0" borderId="32" xfId="0" applyFont="1" applyBorder="1" applyAlignment="1">
      <alignment horizontal="center"/>
    </xf>
    <xf numFmtId="0" fontId="8" fillId="0" borderId="34" xfId="0" applyFont="1" applyBorder="1" applyAlignment="1">
      <alignment horizontal="center"/>
    </xf>
    <xf numFmtId="2" fontId="8" fillId="0" borderId="18" xfId="226" applyNumberFormat="1" applyFont="1" applyBorder="1" applyAlignment="1">
      <alignment horizontal="center"/>
    </xf>
    <xf numFmtId="9" fontId="8" fillId="0" borderId="18" xfId="81" applyFont="1" applyBorder="1" applyAlignment="1">
      <alignment horizontal="center"/>
    </xf>
    <xf numFmtId="2" fontId="8" fillId="40" borderId="18" xfId="226" applyNumberFormat="1" applyFont="1" applyFill="1" applyBorder="1" applyAlignment="1">
      <alignment horizontal="center"/>
    </xf>
    <xf numFmtId="9" fontId="8" fillId="40" borderId="18" xfId="81" applyFont="1" applyFill="1" applyBorder="1" applyAlignment="1">
      <alignment horizontal="center"/>
    </xf>
    <xf numFmtId="2" fontId="8" fillId="0" borderId="35" xfId="226" applyNumberFormat="1" applyFont="1" applyBorder="1" applyAlignment="1">
      <alignment horizontal="center"/>
    </xf>
    <xf numFmtId="9" fontId="43" fillId="0" borderId="0" xfId="81" applyFont="1" applyFill="1" applyBorder="1"/>
    <xf numFmtId="172" fontId="43" fillId="0" borderId="0" xfId="0" applyNumberFormat="1" applyFont="1"/>
    <xf numFmtId="0" fontId="53" fillId="0" borderId="0" xfId="220" applyFont="1" applyAlignment="1">
      <alignment horizontal="center" vertical="center"/>
    </xf>
    <xf numFmtId="0" fontId="53" fillId="0" borderId="0" xfId="220" applyFont="1" applyAlignment="1">
      <alignment horizontal="left" vertical="center"/>
    </xf>
    <xf numFmtId="0" fontId="53" fillId="0" borderId="65" xfId="220" applyFont="1" applyBorder="1" applyAlignment="1">
      <alignment horizontal="center" vertical="center"/>
    </xf>
    <xf numFmtId="0" fontId="66" fillId="0" borderId="8" xfId="220" applyFont="1" applyBorder="1" applyAlignment="1">
      <alignment horizontal="center" vertical="center"/>
    </xf>
    <xf numFmtId="0" fontId="66" fillId="27" borderId="21" xfId="220" applyFont="1" applyFill="1" applyBorder="1" applyAlignment="1">
      <alignment horizontal="left" vertical="center"/>
    </xf>
    <xf numFmtId="0" fontId="68" fillId="41" borderId="46" xfId="0" applyFont="1" applyFill="1" applyBorder="1" applyAlignment="1">
      <alignment horizontal="center" wrapText="1"/>
    </xf>
    <xf numFmtId="171" fontId="68" fillId="41" borderId="71" xfId="218" applyNumberFormat="1" applyFont="1" applyFill="1" applyBorder="1" applyAlignment="1"/>
    <xf numFmtId="0" fontId="68" fillId="41" borderId="24" xfId="0" applyFont="1" applyFill="1" applyBorder="1" applyAlignment="1">
      <alignment horizontal="center" wrapText="1"/>
    </xf>
    <xf numFmtId="171" fontId="68" fillId="41" borderId="62" xfId="218" applyNumberFormat="1" applyFont="1" applyFill="1" applyBorder="1" applyAlignment="1"/>
    <xf numFmtId="0" fontId="68" fillId="0" borderId="0" xfId="0" applyFont="1" applyAlignment="1">
      <alignment horizontal="center" wrapText="1"/>
    </xf>
    <xf numFmtId="173" fontId="67" fillId="0" borderId="0" xfId="218" applyNumberFormat="1" applyFont="1" applyFill="1" applyBorder="1" applyAlignment="1">
      <alignment horizontal="center"/>
    </xf>
    <xf numFmtId="173" fontId="68" fillId="0" borderId="0" xfId="218" applyNumberFormat="1" applyFont="1" applyFill="1" applyBorder="1" applyAlignment="1">
      <alignment horizontal="center"/>
    </xf>
    <xf numFmtId="0" fontId="35" fillId="26" borderId="5" xfId="0" quotePrefix="1" applyFont="1" applyFill="1" applyBorder="1" applyAlignment="1">
      <alignment horizontal="center" vertical="top" wrapText="1"/>
    </xf>
    <xf numFmtId="170" fontId="8" fillId="0" borderId="18" xfId="1" applyNumberFormat="1" applyFont="1" applyBorder="1"/>
    <xf numFmtId="170" fontId="8" fillId="0" borderId="18" xfId="56" applyNumberFormat="1" applyFont="1" applyBorder="1"/>
    <xf numFmtId="170" fontId="31" fillId="0" borderId="18" xfId="0" applyNumberFormat="1" applyFont="1" applyBorder="1"/>
    <xf numFmtId="170" fontId="8" fillId="0" borderId="18" xfId="56" applyNumberFormat="1" applyFont="1" applyFill="1" applyBorder="1"/>
    <xf numFmtId="170" fontId="8" fillId="0" borderId="35" xfId="1" applyNumberFormat="1" applyFont="1" applyBorder="1"/>
    <xf numFmtId="0" fontId="8" fillId="26" borderId="76" xfId="0" applyFont="1" applyFill="1" applyBorder="1" applyAlignment="1">
      <alignment horizontal="center"/>
    </xf>
    <xf numFmtId="0" fontId="35" fillId="26" borderId="6" xfId="0" applyFont="1" applyFill="1" applyBorder="1" applyAlignment="1">
      <alignment horizontal="center" vertical="top" wrapText="1"/>
    </xf>
    <xf numFmtId="0" fontId="35" fillId="26" borderId="6" xfId="0" applyFont="1" applyFill="1" applyBorder="1" applyAlignment="1">
      <alignment horizontal="center"/>
    </xf>
    <xf numFmtId="10" fontId="36" fillId="26" borderId="6" xfId="225" quotePrefix="1" applyNumberFormat="1" applyFont="1" applyFill="1" applyBorder="1" applyAlignment="1">
      <alignment horizontal="center"/>
    </xf>
    <xf numFmtId="0" fontId="8" fillId="26" borderId="6" xfId="0" applyFont="1" applyFill="1" applyBorder="1" applyAlignment="1">
      <alignment horizontal="center"/>
    </xf>
    <xf numFmtId="0" fontId="8" fillId="26" borderId="36" xfId="0" applyFont="1" applyFill="1" applyBorder="1" applyAlignment="1">
      <alignment horizontal="center"/>
    </xf>
    <xf numFmtId="0" fontId="8" fillId="26" borderId="77" xfId="0" quotePrefix="1" applyFont="1" applyFill="1" applyBorder="1" applyAlignment="1">
      <alignment horizontal="center"/>
    </xf>
    <xf numFmtId="0" fontId="8" fillId="26" borderId="69" xfId="0" applyFont="1" applyFill="1" applyBorder="1" applyAlignment="1">
      <alignment horizontal="center"/>
    </xf>
    <xf numFmtId="170" fontId="8" fillId="0" borderId="35" xfId="56" applyNumberFormat="1" applyFont="1" applyBorder="1"/>
    <xf numFmtId="170" fontId="8" fillId="0" borderId="35" xfId="56" applyNumberFormat="1" applyFont="1" applyFill="1" applyBorder="1"/>
    <xf numFmtId="170" fontId="8" fillId="0" borderId="33" xfId="0" applyNumberFormat="1" applyFont="1" applyBorder="1"/>
    <xf numFmtId="170" fontId="31" fillId="0" borderId="35" xfId="0" applyNumberFormat="1" applyFont="1" applyBorder="1"/>
    <xf numFmtId="170" fontId="8" fillId="0" borderId="64" xfId="0" applyNumberFormat="1" applyFont="1" applyBorder="1"/>
    <xf numFmtId="170" fontId="35" fillId="31" borderId="5" xfId="55" applyNumberFormat="1" applyFont="1" applyFill="1" applyBorder="1" applyAlignment="1">
      <alignment horizontal="center"/>
    </xf>
    <xf numFmtId="171" fontId="8" fillId="39" borderId="38" xfId="56" applyNumberFormat="1" applyFont="1" applyFill="1" applyBorder="1"/>
    <xf numFmtId="2" fontId="58" fillId="39" borderId="38" xfId="226" applyNumberFormat="1" applyFont="1" applyFill="1" applyBorder="1" applyAlignment="1">
      <alignment horizontal="center"/>
    </xf>
    <xf numFmtId="9" fontId="58" fillId="39" borderId="38" xfId="81" applyFont="1" applyFill="1" applyBorder="1" applyAlignment="1">
      <alignment horizontal="center"/>
    </xf>
    <xf numFmtId="0" fontId="8" fillId="0" borderId="30" xfId="0" applyFont="1" applyBorder="1" applyAlignment="1">
      <alignment horizontal="center"/>
    </xf>
    <xf numFmtId="2" fontId="8" fillId="0" borderId="31" xfId="226" applyNumberFormat="1" applyFont="1" applyBorder="1" applyAlignment="1">
      <alignment horizontal="center"/>
    </xf>
    <xf numFmtId="0" fontId="8" fillId="40" borderId="32" xfId="0" applyFont="1" applyFill="1" applyBorder="1" applyAlignment="1">
      <alignment horizontal="center"/>
    </xf>
    <xf numFmtId="170" fontId="8" fillId="0" borderId="31" xfId="1" applyNumberFormat="1" applyFont="1" applyFill="1" applyBorder="1"/>
    <xf numFmtId="170" fontId="8" fillId="0" borderId="31" xfId="56" applyNumberFormat="1" applyFont="1" applyBorder="1"/>
    <xf numFmtId="170" fontId="8" fillId="40" borderId="18" xfId="1" applyNumberFormat="1" applyFont="1" applyFill="1" applyBorder="1"/>
    <xf numFmtId="170" fontId="8" fillId="40" borderId="18" xfId="56" applyNumberFormat="1" applyFont="1" applyFill="1" applyBorder="1"/>
    <xf numFmtId="170" fontId="31" fillId="0" borderId="31" xfId="56" applyNumberFormat="1" applyFont="1" applyFill="1" applyBorder="1"/>
    <xf numFmtId="170" fontId="31" fillId="0" borderId="31" xfId="0" applyNumberFormat="1" applyFont="1" applyBorder="1"/>
    <xf numFmtId="170" fontId="8" fillId="0" borderId="63" xfId="0" applyNumberFormat="1" applyFont="1" applyBorder="1"/>
    <xf numFmtId="170" fontId="31" fillId="40" borderId="18" xfId="0" applyNumberFormat="1" applyFont="1" applyFill="1" applyBorder="1"/>
    <xf numFmtId="170" fontId="8" fillId="40" borderId="33" xfId="0" applyNumberFormat="1" applyFont="1" applyFill="1" applyBorder="1"/>
    <xf numFmtId="170" fontId="8" fillId="0" borderId="31" xfId="1" applyNumberFormat="1" applyFont="1" applyBorder="1"/>
    <xf numFmtId="170" fontId="0" fillId="40" borderId="0" xfId="1" applyNumberFormat="1" applyFont="1" applyFill="1"/>
    <xf numFmtId="170" fontId="8" fillId="0" borderId="18" xfId="1" applyNumberFormat="1" applyFont="1" applyFill="1" applyBorder="1"/>
    <xf numFmtId="44" fontId="8" fillId="39" borderId="27" xfId="1" applyNumberFormat="1" applyFont="1" applyFill="1" applyBorder="1"/>
    <xf numFmtId="171" fontId="8" fillId="39" borderId="27" xfId="56" applyNumberFormat="1" applyFont="1" applyFill="1" applyBorder="1"/>
    <xf numFmtId="1" fontId="8" fillId="39" borderId="27" xfId="226" applyNumberFormat="1" applyFont="1" applyFill="1" applyBorder="1" applyAlignment="1">
      <alignment horizontal="center"/>
    </xf>
    <xf numFmtId="171" fontId="60" fillId="39" borderId="27" xfId="1" applyNumberFormat="1" applyFont="1" applyFill="1" applyBorder="1"/>
    <xf numFmtId="171" fontId="61" fillId="39" borderId="38" xfId="1" applyNumberFormat="1" applyFont="1" applyFill="1" applyBorder="1"/>
    <xf numFmtId="170" fontId="8" fillId="0" borderId="35" xfId="1" applyNumberFormat="1" applyFont="1" applyFill="1" applyBorder="1"/>
    <xf numFmtId="166" fontId="32" fillId="0" borderId="64" xfId="87" applyNumberFormat="1" applyFont="1" applyBorder="1" applyAlignment="1">
      <alignment horizontal="center" vertical="center"/>
    </xf>
    <xf numFmtId="2" fontId="42" fillId="0" borderId="0" xfId="87" applyNumberFormat="1" applyFont="1" applyAlignment="1">
      <alignment horizontal="center" vertical="center" wrapText="1"/>
    </xf>
    <xf numFmtId="2" fontId="33" fillId="0" borderId="47" xfId="87" applyNumberFormat="1" applyFont="1" applyBorder="1" applyAlignment="1">
      <alignment horizontal="center" vertical="center"/>
    </xf>
    <xf numFmtId="2" fontId="33" fillId="0" borderId="71" xfId="87" applyNumberFormat="1" applyFont="1" applyBorder="1" applyAlignment="1">
      <alignment horizontal="center" vertical="center"/>
    </xf>
    <xf numFmtId="2" fontId="33" fillId="0" borderId="78" xfId="87" applyNumberFormat="1" applyFont="1" applyBorder="1" applyAlignment="1">
      <alignment horizontal="center" vertical="center"/>
    </xf>
    <xf numFmtId="2" fontId="33" fillId="0" borderId="32" xfId="87" applyNumberFormat="1" applyFont="1" applyBorder="1" applyAlignment="1">
      <alignment horizontal="center" vertical="center"/>
    </xf>
    <xf numFmtId="2" fontId="33" fillId="0" borderId="34" xfId="87" applyNumberFormat="1" applyFont="1" applyBorder="1" applyAlignment="1">
      <alignment horizontal="center" vertical="center"/>
    </xf>
    <xf numFmtId="2" fontId="33" fillId="0" borderId="50" xfId="87" applyNumberFormat="1" applyFont="1" applyBorder="1" applyAlignment="1">
      <alignment horizontal="center" vertical="center"/>
    </xf>
    <xf numFmtId="2" fontId="33" fillId="0" borderId="53" xfId="87" applyNumberFormat="1" applyFont="1" applyBorder="1" applyAlignment="1">
      <alignment horizontal="center" vertical="center"/>
    </xf>
    <xf numFmtId="0" fontId="33" fillId="0" borderId="55" xfId="87" applyFont="1" applyBorder="1" applyAlignment="1">
      <alignment horizontal="center" vertical="center"/>
    </xf>
    <xf numFmtId="2" fontId="33" fillId="0" borderId="56" xfId="87" applyNumberFormat="1" applyFont="1" applyBorder="1" applyAlignment="1">
      <alignment horizontal="center" vertical="center"/>
    </xf>
    <xf numFmtId="168" fontId="11" fillId="33" borderId="44" xfId="1" applyNumberFormat="1" applyFont="1" applyFill="1" applyBorder="1" applyAlignment="1" applyProtection="1">
      <alignment horizontal="center" vertical="center" wrapText="1"/>
    </xf>
    <xf numFmtId="173" fontId="67" fillId="0" borderId="0" xfId="218" applyNumberFormat="1" applyFont="1" applyFill="1" applyBorder="1" applyAlignment="1">
      <alignment horizontal="left"/>
    </xf>
    <xf numFmtId="2" fontId="33" fillId="42" borderId="30" xfId="87" applyNumberFormat="1" applyFont="1" applyFill="1" applyBorder="1" applyAlignment="1">
      <alignment horizontal="center" vertical="center"/>
    </xf>
    <xf numFmtId="0" fontId="33" fillId="0" borderId="67" xfId="87" applyFont="1" applyBorder="1" applyAlignment="1">
      <alignment horizontal="center" vertical="center" wrapText="1"/>
    </xf>
    <xf numFmtId="2" fontId="33" fillId="0" borderId="68" xfId="87" applyNumberFormat="1" applyFont="1" applyBorder="1" applyAlignment="1">
      <alignment horizontal="center" vertical="center"/>
    </xf>
    <xf numFmtId="170" fontId="8" fillId="38" borderId="31" xfId="56" applyNumberFormat="1" applyFont="1" applyFill="1" applyBorder="1"/>
    <xf numFmtId="170" fontId="8" fillId="38" borderId="18" xfId="56" applyNumberFormat="1" applyFont="1" applyFill="1" applyBorder="1"/>
    <xf numFmtId="170" fontId="70" fillId="38" borderId="31" xfId="1" applyNumberFormat="1" applyFont="1" applyFill="1" applyBorder="1"/>
    <xf numFmtId="0" fontId="9" fillId="0" borderId="0" xfId="87" applyAlignment="1">
      <alignment horizontal="right" vertical="center"/>
    </xf>
    <xf numFmtId="2" fontId="33" fillId="0" borderId="41" xfId="87" applyNumberFormat="1" applyFont="1" applyBorder="1" applyAlignment="1">
      <alignment horizontal="right" vertical="center"/>
    </xf>
    <xf numFmtId="166" fontId="33" fillId="0" borderId="7" xfId="87" applyNumberFormat="1" applyFont="1" applyBorder="1" applyAlignment="1">
      <alignment horizontal="right" vertical="center"/>
    </xf>
    <xf numFmtId="0" fontId="68" fillId="41" borderId="60" xfId="0" applyFont="1" applyFill="1" applyBorder="1" applyAlignment="1">
      <alignment horizontal="center" wrapText="1"/>
    </xf>
    <xf numFmtId="2" fontId="33" fillId="37" borderId="32" xfId="87" applyNumberFormat="1" applyFont="1" applyFill="1" applyBorder="1" applyAlignment="1">
      <alignment horizontal="center" vertical="center"/>
    </xf>
    <xf numFmtId="2" fontId="33" fillId="37" borderId="47" xfId="87" applyNumberFormat="1" applyFont="1" applyFill="1" applyBorder="1" applyAlignment="1">
      <alignment horizontal="center" vertical="center"/>
    </xf>
    <xf numFmtId="0" fontId="33" fillId="0" borderId="53" xfId="87" applyFont="1" applyBorder="1" applyAlignment="1">
      <alignment wrapText="1"/>
    </xf>
    <xf numFmtId="0" fontId="42" fillId="0" borderId="34" xfId="87" applyFont="1" applyBorder="1" applyAlignment="1">
      <alignment horizontal="center" vertical="center" wrapText="1"/>
    </xf>
    <xf numFmtId="0" fontId="54" fillId="27" borderId="79" xfId="220" applyFont="1" applyFill="1" applyBorder="1" applyAlignment="1">
      <alignment horizontal="center" vertical="center"/>
    </xf>
    <xf numFmtId="0" fontId="54" fillId="27" borderId="80" xfId="220" applyFont="1" applyFill="1" applyBorder="1" applyAlignment="1">
      <alignment horizontal="left" vertical="center"/>
    </xf>
    <xf numFmtId="0" fontId="54" fillId="27" borderId="80" xfId="220" applyFont="1" applyFill="1" applyBorder="1" applyAlignment="1">
      <alignment horizontal="center" vertical="center"/>
    </xf>
    <xf numFmtId="0" fontId="54" fillId="27" borderId="80" xfId="220" applyFont="1" applyFill="1" applyBorder="1" applyAlignment="1">
      <alignment horizontal="center" vertical="center" wrapText="1"/>
    </xf>
    <xf numFmtId="0" fontId="54" fillId="27" borderId="78" xfId="220" applyFont="1" applyFill="1" applyBorder="1" applyAlignment="1">
      <alignment horizontal="center" vertical="center"/>
    </xf>
    <xf numFmtId="0" fontId="55" fillId="27" borderId="25" xfId="220" applyFont="1" applyFill="1" applyBorder="1" applyAlignment="1">
      <alignment horizontal="center" vertical="center"/>
    </xf>
    <xf numFmtId="0" fontId="55" fillId="27" borderId="0" xfId="220" applyFont="1" applyFill="1" applyAlignment="1">
      <alignment horizontal="left" vertical="center"/>
    </xf>
    <xf numFmtId="0" fontId="55" fillId="27" borderId="0" xfId="220" applyFont="1" applyFill="1" applyAlignment="1">
      <alignment horizontal="center" vertical="center"/>
    </xf>
    <xf numFmtId="9" fontId="55" fillId="27" borderId="0" xfId="81" applyFont="1" applyFill="1" applyBorder="1" applyAlignment="1">
      <alignment horizontal="center" vertical="center" wrapText="1"/>
    </xf>
    <xf numFmtId="9" fontId="55" fillId="27" borderId="0" xfId="221" applyFont="1" applyFill="1" applyBorder="1" applyAlignment="1">
      <alignment horizontal="center" vertical="center"/>
    </xf>
    <xf numFmtId="170" fontId="55" fillId="27" borderId="0" xfId="221" applyNumberFormat="1" applyFont="1" applyFill="1" applyBorder="1" applyAlignment="1">
      <alignment horizontal="center" vertical="center"/>
    </xf>
    <xf numFmtId="170" fontId="55" fillId="27" borderId="0" xfId="222" applyNumberFormat="1" applyFont="1" applyFill="1" applyBorder="1" applyAlignment="1">
      <alignment horizontal="center" vertical="center"/>
    </xf>
    <xf numFmtId="170" fontId="55" fillId="27" borderId="49" xfId="222" applyNumberFormat="1" applyFont="1" applyFill="1" applyBorder="1" applyAlignment="1">
      <alignment horizontal="center" vertical="center"/>
    </xf>
    <xf numFmtId="0" fontId="55" fillId="27" borderId="45" xfId="220" applyFont="1" applyFill="1" applyBorder="1" applyAlignment="1">
      <alignment horizontal="center" vertical="center"/>
    </xf>
    <xf numFmtId="0" fontId="55" fillId="27" borderId="7" xfId="220" applyFont="1" applyFill="1" applyBorder="1" applyAlignment="1">
      <alignment horizontal="left" vertical="center"/>
    </xf>
    <xf numFmtId="0" fontId="55" fillId="27" borderId="7" xfId="220" applyFont="1" applyFill="1" applyBorder="1" applyAlignment="1">
      <alignment horizontal="center" vertical="center"/>
    </xf>
    <xf numFmtId="9" fontId="55" fillId="27" borderId="7" xfId="81" applyFont="1" applyFill="1" applyBorder="1" applyAlignment="1">
      <alignment horizontal="center" vertical="center" wrapText="1"/>
    </xf>
    <xf numFmtId="9" fontId="55" fillId="27" borderId="7" xfId="221" applyFont="1" applyFill="1" applyBorder="1" applyAlignment="1">
      <alignment horizontal="center" vertical="center"/>
    </xf>
    <xf numFmtId="170" fontId="55" fillId="27" borderId="7" xfId="221" applyNumberFormat="1" applyFont="1" applyFill="1" applyBorder="1" applyAlignment="1">
      <alignment horizontal="center" vertical="center"/>
    </xf>
    <xf numFmtId="170" fontId="55" fillId="27" borderId="7" xfId="222" applyNumberFormat="1" applyFont="1" applyFill="1" applyBorder="1" applyAlignment="1">
      <alignment horizontal="center" vertical="center"/>
    </xf>
    <xf numFmtId="170" fontId="55" fillId="27" borderId="48" xfId="222" applyNumberFormat="1" applyFont="1" applyFill="1" applyBorder="1" applyAlignment="1">
      <alignment horizontal="center" vertical="center"/>
    </xf>
    <xf numFmtId="0" fontId="55" fillId="27" borderId="50" xfId="220" applyFont="1" applyFill="1" applyBorder="1"/>
    <xf numFmtId="0" fontId="55" fillId="27" borderId="51" xfId="220" applyFont="1" applyFill="1" applyBorder="1"/>
    <xf numFmtId="165" fontId="55" fillId="27" borderId="51" xfId="222" applyFont="1" applyFill="1" applyBorder="1"/>
    <xf numFmtId="170" fontId="55" fillId="27" borderId="51" xfId="220" applyNumberFormat="1" applyFont="1" applyFill="1" applyBorder="1" applyAlignment="1">
      <alignment horizontal="center"/>
    </xf>
    <xf numFmtId="170" fontId="55" fillId="27" borderId="51" xfId="222" applyNumberFormat="1" applyFont="1" applyFill="1" applyBorder="1" applyAlignment="1">
      <alignment horizontal="center"/>
    </xf>
    <xf numFmtId="170" fontId="55" fillId="27" borderId="52" xfId="222" applyNumberFormat="1" applyFont="1" applyFill="1" applyBorder="1" applyAlignment="1">
      <alignment horizontal="center"/>
    </xf>
    <xf numFmtId="0" fontId="54" fillId="30" borderId="82" xfId="227" applyFont="1" applyFill="1" applyBorder="1" applyAlignment="1">
      <alignment horizontal="center" vertical="center"/>
    </xf>
    <xf numFmtId="0" fontId="54" fillId="30" borderId="84" xfId="227" applyFont="1" applyFill="1" applyBorder="1" applyAlignment="1">
      <alignment horizontal="center" vertical="center" wrapText="1"/>
    </xf>
    <xf numFmtId="0" fontId="54" fillId="27" borderId="50" xfId="227" applyFont="1" applyFill="1" applyBorder="1" applyAlignment="1">
      <alignment horizontal="center" vertical="center"/>
    </xf>
    <xf numFmtId="0" fontId="54" fillId="27" borderId="51" xfId="227" applyFont="1" applyFill="1" applyBorder="1" applyAlignment="1">
      <alignment horizontal="center" vertical="center"/>
    </xf>
    <xf numFmtId="0" fontId="54" fillId="27" borderId="51" xfId="227" applyFont="1" applyFill="1" applyBorder="1" applyAlignment="1">
      <alignment horizontal="center" vertical="center" wrapText="1"/>
    </xf>
    <xf numFmtId="165" fontId="54" fillId="27" borderId="51" xfId="228" applyFont="1" applyFill="1" applyBorder="1" applyAlignment="1">
      <alignment horizontal="center" vertical="center" wrapText="1"/>
    </xf>
    <xf numFmtId="167" fontId="54" fillId="27" borderId="52" xfId="227" applyNumberFormat="1" applyFont="1" applyFill="1" applyBorder="1" applyAlignment="1">
      <alignment horizontal="center" vertical="center" wrapText="1"/>
    </xf>
    <xf numFmtId="0" fontId="55" fillId="27" borderId="23" xfId="227" applyFont="1" applyFill="1" applyBorder="1" applyAlignment="1">
      <alignment horizontal="center" vertical="center"/>
    </xf>
    <xf numFmtId="0" fontId="55" fillId="27" borderId="24" xfId="227" applyFont="1" applyFill="1" applyBorder="1" applyAlignment="1">
      <alignment horizontal="left" vertical="center" wrapText="1"/>
    </xf>
    <xf numFmtId="0" fontId="55" fillId="27" borderId="24" xfId="227" applyFont="1" applyFill="1" applyBorder="1"/>
    <xf numFmtId="0" fontId="55" fillId="27" borderId="24" xfId="227" applyFont="1" applyFill="1" applyBorder="1" applyAlignment="1">
      <alignment horizontal="center" vertical="center"/>
    </xf>
    <xf numFmtId="9" fontId="55" fillId="27" borderId="24" xfId="81" applyFont="1" applyFill="1" applyBorder="1" applyAlignment="1">
      <alignment horizontal="center" vertical="center" wrapText="1"/>
    </xf>
    <xf numFmtId="9" fontId="55" fillId="27" borderId="24" xfId="229" applyFont="1" applyFill="1" applyBorder="1" applyAlignment="1">
      <alignment horizontal="center" vertical="center"/>
    </xf>
    <xf numFmtId="170" fontId="55" fillId="27" borderId="24" xfId="229" applyNumberFormat="1" applyFont="1" applyFill="1" applyBorder="1" applyAlignment="1">
      <alignment horizontal="center" vertical="center"/>
    </xf>
    <xf numFmtId="170" fontId="55" fillId="27" borderId="24" xfId="1" applyNumberFormat="1" applyFont="1" applyFill="1" applyBorder="1" applyAlignment="1">
      <alignment horizontal="center" vertical="center" wrapText="1"/>
    </xf>
    <xf numFmtId="0" fontId="55" fillId="27" borderId="24" xfId="1" applyNumberFormat="1" applyFont="1" applyFill="1" applyBorder="1" applyAlignment="1">
      <alignment horizontal="center" vertical="center"/>
    </xf>
    <xf numFmtId="0" fontId="55" fillId="27" borderId="24" xfId="228" applyNumberFormat="1" applyFont="1" applyFill="1" applyBorder="1" applyAlignment="1">
      <alignment horizontal="center" vertical="center"/>
    </xf>
    <xf numFmtId="172" fontId="55" fillId="27" borderId="24" xfId="227" applyNumberFormat="1" applyFont="1" applyFill="1" applyBorder="1" applyAlignment="1">
      <alignment horizontal="center" vertical="center"/>
    </xf>
    <xf numFmtId="170" fontId="55" fillId="27" borderId="24" xfId="228" applyNumberFormat="1" applyFont="1" applyFill="1" applyBorder="1" applyAlignment="1">
      <alignment horizontal="center" vertical="center"/>
    </xf>
    <xf numFmtId="170" fontId="55" fillId="27" borderId="24" xfId="96" applyNumberFormat="1" applyFont="1" applyFill="1" applyBorder="1" applyAlignment="1">
      <alignment horizontal="center" vertical="center"/>
    </xf>
    <xf numFmtId="0" fontId="55" fillId="27" borderId="46" xfId="227" applyFont="1" applyFill="1" applyBorder="1"/>
    <xf numFmtId="0" fontId="55" fillId="27" borderId="25" xfId="227" applyFont="1" applyFill="1" applyBorder="1" applyAlignment="1">
      <alignment horizontal="center" vertical="center"/>
    </xf>
    <xf numFmtId="9" fontId="55" fillId="27" borderId="0" xfId="229" applyFont="1" applyFill="1" applyBorder="1" applyAlignment="1">
      <alignment horizontal="center" vertical="center"/>
    </xf>
    <xf numFmtId="170" fontId="55" fillId="27" borderId="0" xfId="229" applyNumberFormat="1" applyFont="1" applyFill="1" applyBorder="1" applyAlignment="1">
      <alignment horizontal="center" vertical="center"/>
    </xf>
    <xf numFmtId="170" fontId="55" fillId="27" borderId="0" xfId="1" applyNumberFormat="1" applyFont="1" applyFill="1" applyBorder="1" applyAlignment="1">
      <alignment horizontal="center" vertical="center" wrapText="1"/>
    </xf>
    <xf numFmtId="0" fontId="55" fillId="27" borderId="0" xfId="1" applyNumberFormat="1" applyFont="1" applyFill="1" applyBorder="1" applyAlignment="1">
      <alignment horizontal="center" vertical="center"/>
    </xf>
    <xf numFmtId="0" fontId="55" fillId="27" borderId="0" xfId="228" applyNumberFormat="1" applyFont="1" applyFill="1" applyBorder="1" applyAlignment="1">
      <alignment horizontal="center" vertical="center"/>
    </xf>
    <xf numFmtId="170" fontId="55" fillId="27" borderId="0" xfId="228" applyNumberFormat="1" applyFont="1" applyFill="1" applyBorder="1" applyAlignment="1">
      <alignment horizontal="center" vertical="center"/>
    </xf>
    <xf numFmtId="0" fontId="55" fillId="27" borderId="49" xfId="227" applyFont="1" applyFill="1" applyBorder="1"/>
    <xf numFmtId="0" fontId="55" fillId="27" borderId="50" xfId="227" applyFont="1" applyFill="1" applyBorder="1" applyAlignment="1">
      <alignment horizontal="center" vertical="center"/>
    </xf>
    <xf numFmtId="0" fontId="55" fillId="27" borderId="51" xfId="227" applyFont="1" applyFill="1" applyBorder="1" applyAlignment="1">
      <alignment horizontal="left" vertical="center"/>
    </xf>
    <xf numFmtId="0" fontId="55" fillId="27" borderId="51" xfId="227" applyFont="1" applyFill="1" applyBorder="1"/>
    <xf numFmtId="0" fontId="55" fillId="27" borderId="51" xfId="227" applyFont="1" applyFill="1" applyBorder="1" applyAlignment="1">
      <alignment horizontal="center" vertical="center"/>
    </xf>
    <xf numFmtId="9" fontId="55" fillId="27" borderId="51" xfId="81" applyFont="1" applyFill="1" applyBorder="1" applyAlignment="1">
      <alignment horizontal="center" vertical="center" wrapText="1"/>
    </xf>
    <xf numFmtId="9" fontId="55" fillId="27" borderId="51" xfId="229" applyFont="1" applyFill="1" applyBorder="1" applyAlignment="1">
      <alignment horizontal="center" vertical="center"/>
    </xf>
    <xf numFmtId="170" fontId="55" fillId="27" borderId="51" xfId="229" applyNumberFormat="1" applyFont="1" applyFill="1" applyBorder="1" applyAlignment="1">
      <alignment horizontal="center" vertical="center"/>
    </xf>
    <xf numFmtId="170" fontId="55" fillId="27" borderId="51" xfId="1" applyNumberFormat="1" applyFont="1" applyFill="1" applyBorder="1" applyAlignment="1">
      <alignment horizontal="center" vertical="center" wrapText="1"/>
    </xf>
    <xf numFmtId="0" fontId="55" fillId="27" borderId="51" xfId="1" applyNumberFormat="1" applyFont="1" applyFill="1" applyBorder="1" applyAlignment="1">
      <alignment horizontal="center" vertical="center"/>
    </xf>
    <xf numFmtId="0" fontId="55" fillId="27" borderId="51" xfId="228" applyNumberFormat="1" applyFont="1" applyFill="1" applyBorder="1" applyAlignment="1">
      <alignment horizontal="center" vertical="center"/>
    </xf>
    <xf numFmtId="172" fontId="55" fillId="27" borderId="51" xfId="227" applyNumberFormat="1" applyFont="1" applyFill="1" applyBorder="1" applyAlignment="1">
      <alignment horizontal="center" vertical="center"/>
    </xf>
    <xf numFmtId="170" fontId="55" fillId="27" borderId="51" xfId="228" applyNumberFormat="1" applyFont="1" applyFill="1" applyBorder="1" applyAlignment="1">
      <alignment horizontal="center" vertical="center"/>
    </xf>
    <xf numFmtId="170" fontId="55" fillId="27" borderId="51" xfId="96" applyNumberFormat="1" applyFont="1" applyFill="1" applyBorder="1" applyAlignment="1">
      <alignment horizontal="center" vertical="center"/>
    </xf>
    <xf numFmtId="0" fontId="55" fillId="27" borderId="52" xfId="227" applyFont="1" applyFill="1" applyBorder="1"/>
    <xf numFmtId="0" fontId="32" fillId="0" borderId="63" xfId="87" applyFont="1" applyBorder="1" applyAlignment="1">
      <alignment horizontal="center" vertical="center"/>
    </xf>
    <xf numFmtId="0" fontId="9" fillId="0" borderId="33" xfId="87" applyBorder="1"/>
    <xf numFmtId="2" fontId="9" fillId="42" borderId="28" xfId="87" applyNumberFormat="1" applyFill="1" applyBorder="1" applyAlignment="1">
      <alignment horizontal="right"/>
    </xf>
    <xf numFmtId="2" fontId="9" fillId="0" borderId="33" xfId="87" applyNumberFormat="1" applyBorder="1" applyAlignment="1">
      <alignment horizontal="right"/>
    </xf>
    <xf numFmtId="2" fontId="9" fillId="37" borderId="33" xfId="87" applyNumberFormat="1" applyFill="1" applyBorder="1" applyAlignment="1">
      <alignment horizontal="right"/>
    </xf>
    <xf numFmtId="2" fontId="9" fillId="0" borderId="69" xfId="87" applyNumberFormat="1" applyBorder="1" applyAlignment="1">
      <alignment horizontal="right"/>
    </xf>
    <xf numFmtId="0" fontId="71" fillId="32" borderId="40" xfId="0" applyFont="1" applyFill="1" applyBorder="1"/>
    <xf numFmtId="0" fontId="72" fillId="32" borderId="60" xfId="0" applyFont="1" applyFill="1" applyBorder="1"/>
    <xf numFmtId="0" fontId="71" fillId="32" borderId="18" xfId="0" applyFont="1" applyFill="1" applyBorder="1"/>
    <xf numFmtId="0" fontId="72" fillId="0" borderId="18" xfId="0" applyFont="1" applyBorder="1"/>
    <xf numFmtId="10" fontId="72" fillId="0" borderId="18" xfId="81" applyNumberFormat="1" applyFont="1" applyFill="1" applyBorder="1"/>
    <xf numFmtId="0" fontId="72" fillId="0" borderId="18" xfId="0" applyFont="1" applyBorder="1" applyAlignment="1">
      <alignment wrapText="1"/>
    </xf>
    <xf numFmtId="0" fontId="68" fillId="0" borderId="51" xfId="0" applyFont="1" applyBorder="1"/>
    <xf numFmtId="0" fontId="68" fillId="0" borderId="0" xfId="0" applyFont="1"/>
    <xf numFmtId="0" fontId="67" fillId="27" borderId="57" xfId="0" applyFont="1" applyFill="1" applyBorder="1" applyAlignment="1">
      <alignment horizontal="left"/>
    </xf>
    <xf numFmtId="171" fontId="67" fillId="27" borderId="0" xfId="218" applyNumberFormat="1" applyFont="1" applyFill="1" applyBorder="1" applyAlignment="1">
      <alignment horizontal="center"/>
    </xf>
    <xf numFmtId="173" fontId="67" fillId="27" borderId="73" xfId="218" applyNumberFormat="1" applyFont="1" applyFill="1" applyBorder="1" applyAlignment="1">
      <alignment horizontal="center"/>
    </xf>
    <xf numFmtId="0" fontId="67" fillId="27" borderId="25" xfId="0" applyFont="1" applyFill="1" applyBorder="1" applyAlignment="1">
      <alignment horizontal="left"/>
    </xf>
    <xf numFmtId="173" fontId="67" fillId="27" borderId="74" xfId="218" applyNumberFormat="1" applyFont="1" applyFill="1" applyBorder="1" applyAlignment="1">
      <alignment horizontal="center"/>
    </xf>
    <xf numFmtId="171" fontId="67" fillId="27" borderId="70" xfId="218" applyNumberFormat="1" applyFont="1" applyFill="1" applyBorder="1" applyAlignment="1">
      <alignment horizontal="center"/>
    </xf>
    <xf numFmtId="173" fontId="67" fillId="27" borderId="70" xfId="218" applyNumberFormat="1" applyFont="1" applyFill="1" applyBorder="1" applyAlignment="1">
      <alignment horizontal="center"/>
    </xf>
    <xf numFmtId="171" fontId="67" fillId="27" borderId="49" xfId="218" applyNumberFormat="1" applyFont="1" applyFill="1" applyBorder="1" applyAlignment="1">
      <alignment horizontal="center"/>
    </xf>
    <xf numFmtId="173" fontId="67" fillId="27" borderId="49" xfId="218" applyNumberFormat="1" applyFont="1" applyFill="1" applyBorder="1" applyAlignment="1">
      <alignment horizontal="center"/>
    </xf>
    <xf numFmtId="0" fontId="67" fillId="27" borderId="45" xfId="0" applyFont="1" applyFill="1" applyBorder="1" applyAlignment="1">
      <alignment horizontal="left"/>
    </xf>
    <xf numFmtId="171" fontId="67" fillId="27" borderId="48" xfId="218" applyNumberFormat="1" applyFont="1" applyFill="1" applyBorder="1" applyAlignment="1">
      <alignment horizontal="center"/>
    </xf>
    <xf numFmtId="173" fontId="67" fillId="27" borderId="48" xfId="218" applyNumberFormat="1" applyFont="1" applyFill="1" applyBorder="1" applyAlignment="1">
      <alignment horizontal="center"/>
    </xf>
    <xf numFmtId="0" fontId="67" fillId="27" borderId="29" xfId="0" applyFont="1" applyFill="1" applyBorder="1" applyAlignment="1">
      <alignment horizontal="left"/>
    </xf>
    <xf numFmtId="171" fontId="67" fillId="27" borderId="3" xfId="218" applyNumberFormat="1" applyFont="1" applyFill="1" applyBorder="1" applyAlignment="1">
      <alignment horizontal="center"/>
    </xf>
    <xf numFmtId="0" fontId="67" fillId="27" borderId="44" xfId="0" applyFont="1" applyFill="1" applyBorder="1" applyAlignment="1">
      <alignment horizontal="left"/>
    </xf>
    <xf numFmtId="171" fontId="67" fillId="27" borderId="26" xfId="218" applyNumberFormat="1" applyFont="1" applyFill="1" applyBorder="1" applyAlignment="1">
      <alignment horizontal="center"/>
    </xf>
    <xf numFmtId="0" fontId="72" fillId="0" borderId="0" xfId="0" applyFont="1"/>
    <xf numFmtId="0" fontId="72" fillId="27" borderId="25" xfId="0" applyFont="1" applyFill="1" applyBorder="1"/>
    <xf numFmtId="0" fontId="73" fillId="0" borderId="51" xfId="0" applyFont="1" applyBorder="1"/>
    <xf numFmtId="0" fontId="71" fillId="0" borderId="0" xfId="0" applyFont="1"/>
    <xf numFmtId="0" fontId="72" fillId="27" borderId="23" xfId="0" applyFont="1" applyFill="1" applyBorder="1"/>
    <xf numFmtId="0" fontId="72" fillId="27" borderId="24" xfId="0" applyFont="1" applyFill="1" applyBorder="1"/>
    <xf numFmtId="0" fontId="72" fillId="27" borderId="46" xfId="0" applyFont="1" applyFill="1" applyBorder="1"/>
    <xf numFmtId="0" fontId="72" fillId="27" borderId="49" xfId="0" applyFont="1" applyFill="1" applyBorder="1"/>
    <xf numFmtId="10" fontId="72" fillId="0" borderId="0" xfId="0" applyNumberFormat="1" applyFont="1"/>
    <xf numFmtId="10" fontId="71" fillId="0" borderId="0" xfId="81" applyNumberFormat="1" applyFont="1" applyBorder="1"/>
    <xf numFmtId="168" fontId="72" fillId="0" borderId="0" xfId="0" applyNumberFormat="1" applyFont="1"/>
    <xf numFmtId="9" fontId="72" fillId="0" borderId="0" xfId="81" applyFont="1" applyFill="1" applyBorder="1"/>
    <xf numFmtId="10" fontId="72" fillId="0" borderId="0" xfId="81" applyNumberFormat="1" applyFont="1" applyFill="1" applyBorder="1"/>
    <xf numFmtId="0" fontId="72" fillId="0" borderId="0" xfId="0" applyFont="1" applyAlignment="1">
      <alignment vertical="top" wrapText="1"/>
    </xf>
    <xf numFmtId="0" fontId="74" fillId="30" borderId="18" xfId="0" applyFont="1" applyFill="1" applyBorder="1"/>
    <xf numFmtId="0" fontId="75" fillId="0" borderId="0" xfId="0" applyFont="1"/>
    <xf numFmtId="0" fontId="32" fillId="27" borderId="34" xfId="0" applyFont="1" applyFill="1" applyBorder="1" applyAlignment="1">
      <alignment horizontal="left" indent="2"/>
    </xf>
    <xf numFmtId="170" fontId="44" fillId="27" borderId="35" xfId="1" applyNumberFormat="1" applyFont="1" applyFill="1" applyBorder="1" applyAlignment="1">
      <alignment horizontal="center" vertical="center"/>
    </xf>
    <xf numFmtId="170" fontId="44" fillId="27" borderId="64" xfId="1" applyNumberFormat="1" applyFont="1" applyFill="1" applyBorder="1" applyAlignment="1">
      <alignment horizontal="center" vertical="center"/>
    </xf>
    <xf numFmtId="0" fontId="9" fillId="0" borderId="0" xfId="87" applyAlignment="1">
      <alignment horizontal="center"/>
    </xf>
    <xf numFmtId="0" fontId="33" fillId="0" borderId="58" xfId="87" applyFont="1" applyBorder="1" applyAlignment="1">
      <alignment horizontal="center" vertical="center" wrapText="1"/>
    </xf>
    <xf numFmtId="0" fontId="9" fillId="37" borderId="0" xfId="87" applyFill="1"/>
    <xf numFmtId="0" fontId="33" fillId="37" borderId="32" xfId="87" applyFont="1" applyFill="1" applyBorder="1" applyAlignment="1">
      <alignment horizontal="center" vertical="center" wrapText="1"/>
    </xf>
    <xf numFmtId="10" fontId="33" fillId="37" borderId="18" xfId="230" applyNumberFormat="1" applyFont="1" applyFill="1" applyBorder="1" applyAlignment="1">
      <alignment horizontal="center" vertical="center" wrapText="1"/>
    </xf>
    <xf numFmtId="169" fontId="33" fillId="37" borderId="18" xfId="231" applyNumberFormat="1" applyFont="1" applyFill="1" applyBorder="1" applyAlignment="1">
      <alignment horizontal="center" vertical="center" wrapText="1"/>
    </xf>
    <xf numFmtId="43" fontId="33" fillId="37" borderId="18" xfId="231" applyFont="1" applyFill="1" applyBorder="1" applyAlignment="1">
      <alignment horizontal="center" vertical="center" wrapText="1"/>
    </xf>
    <xf numFmtId="2" fontId="33" fillId="37" borderId="18" xfId="87" applyNumberFormat="1" applyFont="1" applyFill="1" applyBorder="1" applyAlignment="1">
      <alignment horizontal="center" vertical="center"/>
    </xf>
    <xf numFmtId="2" fontId="33" fillId="37" borderId="33" xfId="87" applyNumberFormat="1" applyFont="1" applyFill="1" applyBorder="1" applyAlignment="1">
      <alignment horizontal="center" vertical="center"/>
    </xf>
    <xf numFmtId="2" fontId="33" fillId="37" borderId="0" xfId="87" applyNumberFormat="1" applyFont="1" applyFill="1" applyAlignment="1">
      <alignment horizontal="center" vertical="center"/>
    </xf>
    <xf numFmtId="10" fontId="59" fillId="38" borderId="29" xfId="225" applyNumberFormat="1" applyFont="1" applyFill="1" applyBorder="1" applyAlignment="1">
      <alignment horizontal="center"/>
    </xf>
    <xf numFmtId="0" fontId="72" fillId="27" borderId="18" xfId="0" applyFont="1" applyFill="1" applyBorder="1"/>
    <xf numFmtId="0" fontId="71" fillId="32" borderId="20" xfId="0" applyFont="1" applyFill="1" applyBorder="1"/>
    <xf numFmtId="0" fontId="72" fillId="32" borderId="21" xfId="0" applyFont="1" applyFill="1" applyBorder="1"/>
    <xf numFmtId="10" fontId="72" fillId="27" borderId="21" xfId="0" applyNumberFormat="1" applyFont="1" applyFill="1" applyBorder="1"/>
    <xf numFmtId="0" fontId="72" fillId="27" borderId="20" xfId="0" applyFont="1" applyFill="1" applyBorder="1"/>
    <xf numFmtId="0" fontId="71" fillId="0" borderId="20" xfId="0" applyFont="1" applyBorder="1"/>
    <xf numFmtId="0" fontId="72" fillId="0" borderId="21" xfId="0" applyFont="1" applyBorder="1"/>
    <xf numFmtId="0" fontId="69" fillId="42" borderId="23" xfId="0" applyFont="1" applyFill="1" applyBorder="1" applyAlignment="1">
      <alignment horizontal="center"/>
    </xf>
    <xf numFmtId="0" fontId="68" fillId="44" borderId="72" xfId="0" applyFont="1" applyFill="1" applyBorder="1" applyAlignment="1">
      <alignment horizontal="center" wrapText="1"/>
    </xf>
    <xf numFmtId="173" fontId="68" fillId="44" borderId="75" xfId="218" applyNumberFormat="1" applyFont="1" applyFill="1" applyBorder="1" applyAlignment="1">
      <alignment horizontal="center"/>
    </xf>
    <xf numFmtId="0" fontId="68" fillId="45" borderId="61" xfId="0" applyFont="1" applyFill="1" applyBorder="1" applyAlignment="1">
      <alignment horizontal="left"/>
    </xf>
    <xf numFmtId="0" fontId="68" fillId="44" borderId="46" xfId="0" applyFont="1" applyFill="1" applyBorder="1" applyAlignment="1">
      <alignment horizontal="center" wrapText="1"/>
    </xf>
    <xf numFmtId="0" fontId="69" fillId="44" borderId="23" xfId="0" applyFont="1" applyFill="1" applyBorder="1"/>
    <xf numFmtId="173" fontId="68" fillId="44" borderId="71" xfId="218" applyNumberFormat="1" applyFont="1" applyFill="1" applyBorder="1" applyAlignment="1">
      <alignment horizontal="center"/>
    </xf>
    <xf numFmtId="171" fontId="68" fillId="44" borderId="71" xfId="218" applyNumberFormat="1" applyFont="1" applyFill="1" applyBorder="1" applyAlignment="1"/>
    <xf numFmtId="0" fontId="69" fillId="44" borderId="40" xfId="0" applyFont="1" applyFill="1" applyBorder="1" applyAlignment="1">
      <alignment horizontal="center"/>
    </xf>
    <xf numFmtId="0" fontId="79" fillId="0" borderId="51" xfId="0" applyFont="1" applyBorder="1"/>
    <xf numFmtId="167" fontId="54" fillId="0" borderId="0" xfId="227" applyNumberFormat="1" applyFont="1" applyAlignment="1">
      <alignment horizontal="center" vertical="center" wrapText="1"/>
    </xf>
    <xf numFmtId="0" fontId="55" fillId="0" borderId="0" xfId="0" applyFont="1" applyAlignment="1">
      <alignment wrapText="1"/>
    </xf>
    <xf numFmtId="170" fontId="55" fillId="0" borderId="0" xfId="228" applyNumberFormat="1" applyFont="1" applyFill="1" applyBorder="1" applyAlignment="1">
      <alignment horizontal="center" vertical="center"/>
    </xf>
    <xf numFmtId="0" fontId="55" fillId="0" borderId="0" xfId="0" applyFont="1" applyAlignment="1">
      <alignment vertical="center" wrapText="1"/>
    </xf>
    <xf numFmtId="0" fontId="80" fillId="0" borderId="0" xfId="227" applyFont="1"/>
    <xf numFmtId="170" fontId="8" fillId="24" borderId="33" xfId="0" applyNumberFormat="1" applyFont="1" applyFill="1" applyBorder="1"/>
    <xf numFmtId="0" fontId="8" fillId="0" borderId="58" xfId="0" applyFont="1" applyBorder="1" applyAlignment="1">
      <alignment horizontal="center"/>
    </xf>
    <xf numFmtId="171" fontId="60" fillId="39" borderId="85" xfId="1" applyNumberFormat="1" applyFont="1" applyFill="1" applyBorder="1"/>
    <xf numFmtId="171" fontId="60" fillId="29" borderId="33" xfId="1" applyNumberFormat="1" applyFont="1" applyFill="1" applyBorder="1"/>
    <xf numFmtId="0" fontId="8" fillId="0" borderId="67" xfId="0" applyFont="1" applyBorder="1" applyAlignment="1">
      <alignment horizontal="center"/>
    </xf>
    <xf numFmtId="171" fontId="60" fillId="29" borderId="68" xfId="1" applyNumberFormat="1" applyFont="1" applyFill="1" applyBorder="1"/>
    <xf numFmtId="9" fontId="8" fillId="0" borderId="35" xfId="81" applyFont="1" applyBorder="1" applyAlignment="1">
      <alignment horizontal="center"/>
    </xf>
    <xf numFmtId="10" fontId="9" fillId="0" borderId="0" xfId="81" quotePrefix="1" applyNumberFormat="1" applyFont="1" applyBorder="1" applyAlignment="1">
      <alignment vertical="top" wrapText="1"/>
    </xf>
    <xf numFmtId="0" fontId="67" fillId="0" borderId="0" xfId="0" applyFont="1"/>
    <xf numFmtId="0" fontId="81" fillId="27" borderId="18" xfId="0" applyFont="1" applyFill="1" applyBorder="1" applyAlignment="1">
      <alignment vertical="center"/>
    </xf>
    <xf numFmtId="0" fontId="81" fillId="27" borderId="18" xfId="0" applyFont="1" applyFill="1" applyBorder="1" applyAlignment="1">
      <alignment vertical="center" wrapText="1"/>
    </xf>
    <xf numFmtId="0" fontId="75" fillId="27" borderId="53" xfId="0" applyFont="1" applyFill="1" applyBorder="1" applyAlignment="1">
      <alignment vertical="center"/>
    </xf>
    <xf numFmtId="0" fontId="75" fillId="0" borderId="55" xfId="0" applyFont="1" applyBorder="1" applyAlignment="1">
      <alignment vertical="top" wrapText="1"/>
    </xf>
    <xf numFmtId="0" fontId="82" fillId="0" borderId="0" xfId="0" applyFont="1"/>
    <xf numFmtId="0" fontId="83" fillId="30" borderId="56" xfId="0" applyFont="1" applyFill="1" applyBorder="1" applyAlignment="1">
      <alignment horizontal="center" vertical="center"/>
    </xf>
    <xf numFmtId="0" fontId="83" fillId="0" borderId="44" xfId="0" applyFont="1" applyBorder="1" applyAlignment="1">
      <alignment horizontal="center" vertical="center"/>
    </xf>
    <xf numFmtId="10" fontId="83" fillId="0" borderId="7" xfId="81" applyNumberFormat="1" applyFont="1" applyFill="1" applyBorder="1" applyAlignment="1">
      <alignment horizontal="center" vertical="center"/>
    </xf>
    <xf numFmtId="0" fontId="83" fillId="0" borderId="26" xfId="0" applyFont="1" applyBorder="1" applyAlignment="1">
      <alignment horizontal="center" vertical="center"/>
    </xf>
    <xf numFmtId="0" fontId="82" fillId="0" borderId="18" xfId="0" applyFont="1" applyBorder="1"/>
    <xf numFmtId="9" fontId="82" fillId="0" borderId="18" xfId="81" applyFont="1" applyBorder="1" applyAlignment="1">
      <alignment horizontal="center"/>
    </xf>
    <xf numFmtId="9" fontId="84" fillId="0" borderId="18" xfId="81" applyFont="1" applyFill="1" applyBorder="1" applyAlignment="1">
      <alignment horizontal="center"/>
    </xf>
    <xf numFmtId="9" fontId="84" fillId="0" borderId="18" xfId="81" applyFont="1" applyBorder="1" applyAlignment="1">
      <alignment horizontal="center"/>
    </xf>
    <xf numFmtId="0" fontId="72" fillId="0" borderId="0" xfId="0" applyFont="1" applyAlignment="1">
      <alignment wrapText="1"/>
    </xf>
    <xf numFmtId="0" fontId="82" fillId="0" borderId="20" xfId="0" applyFont="1" applyBorder="1"/>
    <xf numFmtId="9" fontId="82" fillId="0" borderId="21" xfId="81" applyFont="1" applyBorder="1" applyAlignment="1">
      <alignment horizontal="center"/>
    </xf>
    <xf numFmtId="9" fontId="84" fillId="0" borderId="0" xfId="81" applyFont="1" applyBorder="1" applyAlignment="1">
      <alignment horizontal="center"/>
    </xf>
    <xf numFmtId="0" fontId="86" fillId="41" borderId="0" xfId="0" applyFont="1" applyFill="1" applyAlignment="1">
      <alignment horizontal="left"/>
    </xf>
    <xf numFmtId="171" fontId="86" fillId="41" borderId="0" xfId="0" applyNumberFormat="1" applyFont="1" applyFill="1" applyAlignment="1">
      <alignment horizontal="left"/>
    </xf>
    <xf numFmtId="172" fontId="55" fillId="0" borderId="24" xfId="227" applyNumberFormat="1" applyFont="1" applyBorder="1" applyAlignment="1">
      <alignment horizontal="center" vertical="center"/>
    </xf>
    <xf numFmtId="0" fontId="55" fillId="27" borderId="0" xfId="227" applyFont="1" applyFill="1" applyAlignment="1">
      <alignment horizontal="left" vertical="center" wrapText="1"/>
    </xf>
    <xf numFmtId="0" fontId="55" fillId="27" borderId="0" xfId="227" applyFont="1" applyFill="1"/>
    <xf numFmtId="0" fontId="55" fillId="27" borderId="0" xfId="227" applyFont="1" applyFill="1" applyAlignment="1">
      <alignment horizontal="center" vertical="center"/>
    </xf>
    <xf numFmtId="172" fontId="55" fillId="27" borderId="0" xfId="227" applyNumberFormat="1" applyFont="1" applyFill="1" applyAlignment="1">
      <alignment horizontal="center" vertical="center"/>
    </xf>
    <xf numFmtId="170" fontId="55" fillId="27" borderId="0" xfId="227" applyNumberFormat="1" applyFont="1" applyFill="1" applyAlignment="1">
      <alignment horizontal="center" vertical="center"/>
    </xf>
    <xf numFmtId="170" fontId="55" fillId="27" borderId="0" xfId="96" applyNumberFormat="1" applyFont="1" applyFill="1" applyAlignment="1">
      <alignment horizontal="center" vertical="center"/>
    </xf>
    <xf numFmtId="0" fontId="71" fillId="33" borderId="30" xfId="0" applyFont="1" applyFill="1" applyBorder="1"/>
    <xf numFmtId="0" fontId="71" fillId="33" borderId="63" xfId="0" applyFont="1" applyFill="1" applyBorder="1"/>
    <xf numFmtId="9" fontId="76" fillId="0" borderId="33" xfId="81" applyFont="1" applyBorder="1"/>
    <xf numFmtId="9" fontId="76" fillId="27" borderId="33" xfId="81" applyFont="1" applyFill="1" applyBorder="1"/>
    <xf numFmtId="9" fontId="76" fillId="27" borderId="64" xfId="81" applyFont="1" applyFill="1" applyBorder="1"/>
    <xf numFmtId="0" fontId="77" fillId="39" borderId="30" xfId="0" applyFont="1" applyFill="1" applyBorder="1"/>
    <xf numFmtId="0" fontId="77" fillId="39" borderId="63" xfId="0" applyFont="1" applyFill="1" applyBorder="1"/>
    <xf numFmtId="0" fontId="77" fillId="33" borderId="34" xfId="0" applyFont="1" applyFill="1" applyBorder="1"/>
    <xf numFmtId="165" fontId="77" fillId="33" borderId="64" xfId="1" applyFont="1" applyFill="1" applyBorder="1"/>
    <xf numFmtId="2" fontId="33" fillId="0" borderId="55" xfId="87" applyNumberFormat="1" applyFont="1" applyBorder="1"/>
    <xf numFmtId="172" fontId="55" fillId="0" borderId="0" xfId="220" applyNumberFormat="1" applyFont="1"/>
    <xf numFmtId="0" fontId="87" fillId="0" borderId="29" xfId="75" applyFont="1" applyBorder="1"/>
    <xf numFmtId="0" fontId="87" fillId="0" borderId="44" xfId="75" applyFont="1" applyBorder="1"/>
    <xf numFmtId="0" fontId="72" fillId="27" borderId="0" xfId="0" applyFont="1" applyFill="1"/>
    <xf numFmtId="0" fontId="72" fillId="0" borderId="25" xfId="0" applyFont="1" applyBorder="1"/>
    <xf numFmtId="0" fontId="72" fillId="0" borderId="49" xfId="0" applyFont="1" applyBorder="1"/>
    <xf numFmtId="0" fontId="72" fillId="0" borderId="0" xfId="0" applyFont="1" applyAlignment="1">
      <alignment horizontal="left" indent="7"/>
    </xf>
    <xf numFmtId="10" fontId="9" fillId="0" borderId="0" xfId="81" applyNumberFormat="1" applyFont="1" applyBorder="1"/>
    <xf numFmtId="0" fontId="55" fillId="0" borderId="0" xfId="0" quotePrefix="1" applyFont="1" applyAlignment="1">
      <alignment vertical="top" wrapText="1"/>
    </xf>
    <xf numFmtId="0" fontId="71" fillId="0" borderId="49" xfId="0" applyFont="1" applyBorder="1"/>
    <xf numFmtId="0" fontId="72" fillId="0" borderId="50" xfId="0" applyFont="1" applyBorder="1"/>
    <xf numFmtId="0" fontId="72" fillId="0" borderId="51" xfId="0" applyFont="1" applyBorder="1"/>
    <xf numFmtId="0" fontId="72" fillId="0" borderId="51" xfId="0" applyFont="1" applyBorder="1" applyAlignment="1">
      <alignment horizontal="left" indent="7"/>
    </xf>
    <xf numFmtId="10" fontId="72" fillId="0" borderId="51" xfId="81" applyNumberFormat="1" applyFont="1" applyFill="1" applyBorder="1"/>
    <xf numFmtId="0" fontId="72" fillId="0" borderId="52" xfId="0" applyFont="1" applyBorder="1"/>
    <xf numFmtId="0" fontId="54" fillId="0" borderId="0" xfId="220" applyFont="1" applyAlignment="1">
      <alignment horizontal="center" vertical="center" wrapText="1"/>
    </xf>
    <xf numFmtId="165" fontId="55" fillId="24" borderId="0" xfId="1" applyFont="1" applyFill="1" applyBorder="1" applyAlignment="1">
      <alignment horizontal="center" vertical="center"/>
    </xf>
    <xf numFmtId="165" fontId="55" fillId="24" borderId="65" xfId="1" applyFont="1" applyFill="1" applyBorder="1" applyAlignment="1">
      <alignment horizontal="center" vertical="center"/>
    </xf>
    <xf numFmtId="165" fontId="55" fillId="0" borderId="66" xfId="220" applyNumberFormat="1" applyFont="1" applyBorder="1" applyAlignment="1">
      <alignment horizontal="center" vertical="center"/>
    </xf>
    <xf numFmtId="0" fontId="54" fillId="30" borderId="82" xfId="220" applyFont="1" applyFill="1" applyBorder="1" applyAlignment="1">
      <alignment horizontal="center" vertical="center" wrapText="1"/>
    </xf>
    <xf numFmtId="0" fontId="54" fillId="30" borderId="54" xfId="220" applyFont="1" applyFill="1" applyBorder="1" applyAlignment="1">
      <alignment horizontal="center" vertical="center" wrapText="1"/>
    </xf>
    <xf numFmtId="0" fontId="54" fillId="30" borderId="83" xfId="220" applyFont="1" applyFill="1" applyBorder="1" applyAlignment="1">
      <alignment horizontal="center" vertical="center" wrapText="1"/>
    </xf>
    <xf numFmtId="0" fontId="54" fillId="30" borderId="55" xfId="220" applyFont="1" applyFill="1" applyBorder="1" applyAlignment="1">
      <alignment horizontal="center" vertical="center" wrapText="1"/>
    </xf>
    <xf numFmtId="0" fontId="54" fillId="30" borderId="53" xfId="220" applyFont="1" applyFill="1" applyBorder="1" applyAlignment="1">
      <alignment horizontal="center" vertical="center"/>
    </xf>
    <xf numFmtId="0" fontId="54" fillId="30" borderId="54" xfId="220" applyFont="1" applyFill="1" applyBorder="1" applyAlignment="1">
      <alignment horizontal="center" vertical="center"/>
    </xf>
    <xf numFmtId="0" fontId="54" fillId="30" borderId="82" xfId="220" applyFont="1" applyFill="1" applyBorder="1" applyAlignment="1">
      <alignment horizontal="center" vertical="center"/>
    </xf>
    <xf numFmtId="0" fontId="54" fillId="30" borderId="83" xfId="220" applyFont="1" applyFill="1" applyBorder="1" applyAlignment="1">
      <alignment horizontal="center" vertical="center"/>
    </xf>
    <xf numFmtId="0" fontId="78" fillId="27" borderId="53" xfId="0" applyFont="1" applyFill="1" applyBorder="1" applyAlignment="1">
      <alignment horizontal="center"/>
    </xf>
    <xf numFmtId="0" fontId="78" fillId="27" borderId="55" xfId="0" applyFont="1" applyFill="1" applyBorder="1" applyAlignment="1">
      <alignment horizontal="center"/>
    </xf>
    <xf numFmtId="0" fontId="87" fillId="0" borderId="44" xfId="0" applyFont="1" applyBorder="1" applyAlignment="1">
      <alignment horizontal="left" vertical="top" wrapText="1"/>
    </xf>
    <xf numFmtId="0" fontId="87" fillId="0" borderId="26" xfId="0" applyFont="1" applyBorder="1" applyAlignment="1">
      <alignment horizontal="left" vertical="top" wrapText="1"/>
    </xf>
    <xf numFmtId="0" fontId="72" fillId="0" borderId="0" xfId="0" applyFont="1" applyAlignment="1">
      <alignment horizontal="center"/>
    </xf>
    <xf numFmtId="0" fontId="83" fillId="30" borderId="53" xfId="0" applyFont="1" applyFill="1" applyBorder="1" applyAlignment="1">
      <alignment horizontal="center" vertical="center"/>
    </xf>
    <xf numFmtId="0" fontId="83" fillId="30" borderId="55" xfId="0" applyFont="1" applyFill="1" applyBorder="1" applyAlignment="1">
      <alignment horizontal="center" vertical="center"/>
    </xf>
    <xf numFmtId="0" fontId="85" fillId="0" borderId="0" xfId="0" applyFont="1" applyAlignment="1">
      <alignment horizontal="left"/>
    </xf>
    <xf numFmtId="0" fontId="42" fillId="37" borderId="53" xfId="87" applyFont="1" applyFill="1" applyBorder="1" applyAlignment="1">
      <alignment horizontal="center" vertical="center"/>
    </xf>
    <xf numFmtId="0" fontId="42" fillId="37" borderId="55" xfId="87" applyFont="1" applyFill="1" applyBorder="1" applyAlignment="1">
      <alignment horizontal="center" vertical="center"/>
    </xf>
    <xf numFmtId="0" fontId="42" fillId="0" borderId="79" xfId="75" applyFont="1" applyBorder="1" applyAlignment="1">
      <alignment horizontal="center" vertical="center"/>
    </xf>
    <xf numFmtId="0" fontId="42" fillId="0" borderId="80" xfId="75" applyFont="1" applyBorder="1" applyAlignment="1">
      <alignment horizontal="center" vertical="center"/>
    </xf>
    <xf numFmtId="0" fontId="42" fillId="0" borderId="78" xfId="75" applyFont="1" applyBorder="1" applyAlignment="1">
      <alignment horizontal="center" vertical="center"/>
    </xf>
    <xf numFmtId="2" fontId="42" fillId="30" borderId="23" xfId="87" applyNumberFormat="1" applyFont="1" applyFill="1" applyBorder="1" applyAlignment="1">
      <alignment horizontal="center" vertical="center" wrapText="1"/>
    </xf>
    <xf numFmtId="2" fontId="42" fillId="30" borderId="46" xfId="87" applyNumberFormat="1" applyFont="1" applyFill="1" applyBorder="1" applyAlignment="1">
      <alignment horizontal="center" vertical="center" wrapText="1"/>
    </xf>
    <xf numFmtId="0" fontId="50" fillId="0" borderId="51" xfId="75" applyFont="1" applyBorder="1" applyAlignment="1">
      <alignment horizontal="center" wrapText="1"/>
    </xf>
    <xf numFmtId="0" fontId="54" fillId="30" borderId="53" xfId="227" applyFont="1" applyFill="1" applyBorder="1" applyAlignment="1">
      <alignment horizontal="center" vertical="center"/>
    </xf>
    <xf numFmtId="0" fontId="54" fillId="30" borderId="54" xfId="227" applyFont="1" applyFill="1" applyBorder="1" applyAlignment="1">
      <alignment horizontal="center" vertical="center"/>
    </xf>
    <xf numFmtId="0" fontId="54" fillId="30" borderId="83" xfId="227" applyFont="1" applyFill="1" applyBorder="1" applyAlignment="1">
      <alignment horizontal="center" vertical="center"/>
    </xf>
    <xf numFmtId="0" fontId="55" fillId="30" borderId="72" xfId="227" applyFont="1" applyFill="1" applyBorder="1" applyAlignment="1">
      <alignment horizontal="center" vertical="center" wrapText="1"/>
    </xf>
    <xf numFmtId="0" fontId="55" fillId="30" borderId="74" xfId="227" applyFont="1" applyFill="1" applyBorder="1" applyAlignment="1">
      <alignment horizontal="center" vertical="center" wrapText="1"/>
    </xf>
    <xf numFmtId="0" fontId="55" fillId="30" borderId="81" xfId="227" applyFont="1" applyFill="1" applyBorder="1" applyAlignment="1">
      <alignment horizontal="center" vertical="center" wrapText="1"/>
    </xf>
    <xf numFmtId="0" fontId="54" fillId="30" borderId="82" xfId="227" applyFont="1" applyFill="1" applyBorder="1" applyAlignment="1">
      <alignment horizontal="center" vertical="center" wrapText="1"/>
    </xf>
    <xf numFmtId="0" fontId="54" fillId="30" borderId="55" xfId="227" applyFont="1" applyFill="1" applyBorder="1" applyAlignment="1">
      <alignment horizontal="center" vertical="center" wrapText="1"/>
    </xf>
    <xf numFmtId="0" fontId="54" fillId="30" borderId="82" xfId="227" applyFont="1" applyFill="1" applyBorder="1" applyAlignment="1">
      <alignment horizontal="center" vertical="center"/>
    </xf>
    <xf numFmtId="0" fontId="54" fillId="30" borderId="83" xfId="227" applyFont="1" applyFill="1" applyBorder="1" applyAlignment="1">
      <alignment horizontal="center" vertical="center" wrapText="1"/>
    </xf>
    <xf numFmtId="0" fontId="35" fillId="26" borderId="5" xfId="0" applyFont="1" applyFill="1" applyBorder="1" applyAlignment="1">
      <alignment horizontal="center" vertical="top" wrapText="1"/>
    </xf>
    <xf numFmtId="0" fontId="12" fillId="26" borderId="30" xfId="0" applyFont="1" applyFill="1" applyBorder="1" applyAlignment="1">
      <alignment horizontal="center" vertical="center" wrapText="1"/>
    </xf>
    <xf numFmtId="0" fontId="12" fillId="26" borderId="32" xfId="0" applyFont="1" applyFill="1" applyBorder="1" applyAlignment="1">
      <alignment horizontal="center" vertical="center" wrapText="1"/>
    </xf>
    <xf numFmtId="0" fontId="12" fillId="26" borderId="34" xfId="0" applyFont="1" applyFill="1" applyBorder="1" applyAlignment="1">
      <alignment horizontal="center" vertical="center" wrapText="1"/>
    </xf>
    <xf numFmtId="0" fontId="12" fillId="26" borderId="31" xfId="0" applyFont="1" applyFill="1" applyBorder="1" applyAlignment="1">
      <alignment horizontal="center" vertical="center" wrapText="1"/>
    </xf>
    <xf numFmtId="0" fontId="12" fillId="26" borderId="18" xfId="0" applyFont="1" applyFill="1" applyBorder="1" applyAlignment="1">
      <alignment horizontal="center" vertical="center" wrapText="1"/>
    </xf>
    <xf numFmtId="0" fontId="12" fillId="26" borderId="35" xfId="0" applyFont="1" applyFill="1" applyBorder="1" applyAlignment="1">
      <alignment horizontal="center" vertical="center" wrapText="1"/>
    </xf>
    <xf numFmtId="165" fontId="12" fillId="26" borderId="31" xfId="0" applyNumberFormat="1" applyFont="1" applyFill="1" applyBorder="1" applyAlignment="1">
      <alignment horizontal="center" vertical="center" wrapText="1"/>
    </xf>
    <xf numFmtId="165" fontId="12" fillId="26" borderId="38" xfId="0" applyNumberFormat="1" applyFont="1" applyFill="1" applyBorder="1" applyAlignment="1">
      <alignment horizontal="center" vertical="center" wrapText="1"/>
    </xf>
    <xf numFmtId="0" fontId="35" fillId="26" borderId="6" xfId="0" applyFont="1" applyFill="1" applyBorder="1" applyAlignment="1">
      <alignment horizontal="center" vertical="top" wrapText="1"/>
    </xf>
    <xf numFmtId="165" fontId="12" fillId="26" borderId="2" xfId="0" applyNumberFormat="1" applyFont="1" applyFill="1" applyBorder="1" applyAlignment="1">
      <alignment horizontal="center" vertical="center" wrapText="1"/>
    </xf>
    <xf numFmtId="165" fontId="12" fillId="26" borderId="5" xfId="0" applyNumberFormat="1" applyFont="1" applyFill="1" applyBorder="1" applyAlignment="1">
      <alignment horizontal="center" vertical="center" wrapText="1"/>
    </xf>
    <xf numFmtId="165" fontId="12" fillId="26" borderId="6" xfId="0" applyNumberFormat="1" applyFont="1" applyFill="1" applyBorder="1" applyAlignment="1">
      <alignment horizontal="center" vertical="center" wrapText="1"/>
    </xf>
    <xf numFmtId="0" fontId="32" fillId="0" borderId="25" xfId="0" applyFont="1" applyBorder="1" applyAlignment="1">
      <alignment horizontal="left" vertical="top" wrapText="1"/>
    </xf>
    <xf numFmtId="0" fontId="32" fillId="0" borderId="0" xfId="0" applyFont="1" applyAlignment="1">
      <alignment horizontal="left" vertical="top" wrapText="1"/>
    </xf>
    <xf numFmtId="0" fontId="10" fillId="0" borderId="0" xfId="0" applyFont="1" applyAlignment="1">
      <alignment horizontal="center"/>
    </xf>
    <xf numFmtId="0" fontId="35" fillId="26" borderId="22" xfId="0" applyFont="1" applyFill="1" applyBorder="1" applyAlignment="1">
      <alignment horizontal="center" vertical="top" wrapText="1"/>
    </xf>
    <xf numFmtId="0" fontId="35" fillId="26" borderId="29" xfId="0" applyFont="1" applyFill="1" applyBorder="1" applyAlignment="1">
      <alignment horizontal="center"/>
    </xf>
    <xf numFmtId="0" fontId="35" fillId="26" borderId="3" xfId="0" applyFont="1" applyFill="1" applyBorder="1" applyAlignment="1">
      <alignment horizontal="center"/>
    </xf>
    <xf numFmtId="165" fontId="12" fillId="26" borderId="37" xfId="0" applyNumberFormat="1" applyFont="1" applyFill="1" applyBorder="1" applyAlignment="1">
      <alignment horizontal="center" vertical="center" wrapText="1"/>
    </xf>
    <xf numFmtId="165" fontId="12" fillId="26" borderId="40" xfId="0" applyNumberFormat="1" applyFont="1" applyFill="1" applyBorder="1" applyAlignment="1">
      <alignment horizontal="center" vertical="center" wrapText="1"/>
    </xf>
    <xf numFmtId="0" fontId="35" fillId="26" borderId="5" xfId="0" applyFont="1" applyFill="1" applyBorder="1" applyAlignment="1">
      <alignment horizontal="center" wrapText="1"/>
    </xf>
    <xf numFmtId="167" fontId="44" fillId="25" borderId="46" xfId="1" applyNumberFormat="1" applyFont="1" applyFill="1" applyBorder="1" applyAlignment="1">
      <alignment horizontal="center" vertical="center" wrapText="1"/>
    </xf>
    <xf numFmtId="167" fontId="44" fillId="25" borderId="49" xfId="1" applyNumberFormat="1" applyFont="1" applyFill="1" applyBorder="1" applyAlignment="1">
      <alignment horizontal="center" vertical="center" wrapText="1"/>
    </xf>
    <xf numFmtId="14" fontId="64" fillId="25" borderId="23" xfId="0" applyNumberFormat="1" applyFont="1" applyFill="1" applyBorder="1" applyAlignment="1">
      <alignment horizontal="left" vertical="center" wrapText="1"/>
    </xf>
    <xf numFmtId="14" fontId="64" fillId="25" borderId="25" xfId="0" applyNumberFormat="1" applyFont="1" applyFill="1" applyBorder="1" applyAlignment="1">
      <alignment horizontal="left" vertical="center"/>
    </xf>
    <xf numFmtId="167" fontId="44" fillId="25" borderId="24" xfId="1" applyNumberFormat="1" applyFont="1" applyFill="1" applyBorder="1" applyAlignment="1">
      <alignment horizontal="center" vertical="center" wrapText="1"/>
    </xf>
    <xf numFmtId="167" fontId="44" fillId="25" borderId="0" xfId="1" applyNumberFormat="1" applyFont="1" applyFill="1" applyBorder="1" applyAlignment="1">
      <alignment horizontal="center" vertical="center" wrapText="1"/>
    </xf>
  </cellXfs>
  <cellStyles count="240">
    <cellStyle name="20% - Accent1 2" xfId="3" xr:uid="{00000000-0005-0000-0000-000000000000}"/>
    <cellStyle name="20% - Accent2 2" xfId="4" xr:uid="{00000000-0005-0000-0000-000001000000}"/>
    <cellStyle name="20% - Accent3 2" xfId="5" xr:uid="{00000000-0005-0000-0000-000002000000}"/>
    <cellStyle name="20% - Accent3 3" xfId="140" xr:uid="{00000000-0005-0000-0000-000003000000}"/>
    <cellStyle name="20% - Accent4 2" xfId="6" xr:uid="{00000000-0005-0000-0000-000004000000}"/>
    <cellStyle name="20% - Accent5 2" xfId="7" xr:uid="{00000000-0005-0000-0000-000005000000}"/>
    <cellStyle name="20% - Accent6 2" xfId="8" xr:uid="{00000000-0005-0000-0000-000006000000}"/>
    <cellStyle name="40% - Accent1 2" xfId="9" xr:uid="{00000000-0005-0000-0000-000007000000}"/>
    <cellStyle name="40% - Accent2 2" xfId="10" xr:uid="{00000000-0005-0000-0000-000008000000}"/>
    <cellStyle name="40% - Accent3 2" xfId="11" xr:uid="{00000000-0005-0000-0000-000009000000}"/>
    <cellStyle name="40% - Accent4 2" xfId="12" xr:uid="{00000000-0005-0000-0000-00000A000000}"/>
    <cellStyle name="40% - Accent5 2" xfId="13" xr:uid="{00000000-0005-0000-0000-00000B000000}"/>
    <cellStyle name="40% - Accent6 2" xfId="14" xr:uid="{00000000-0005-0000-0000-00000C000000}"/>
    <cellStyle name="60% - Accent1 2" xfId="15" xr:uid="{00000000-0005-0000-0000-00000D000000}"/>
    <cellStyle name="60% - Accent2 2" xfId="16" xr:uid="{00000000-0005-0000-0000-00000E000000}"/>
    <cellStyle name="60% - Accent3 2" xfId="17" xr:uid="{00000000-0005-0000-0000-00000F000000}"/>
    <cellStyle name="60% - Accent4 2" xfId="18" xr:uid="{00000000-0005-0000-0000-000010000000}"/>
    <cellStyle name="60% - Accent5 2" xfId="19" xr:uid="{00000000-0005-0000-0000-000011000000}"/>
    <cellStyle name="60% - Accent6 2" xfId="20" xr:uid="{00000000-0005-0000-0000-000012000000}"/>
    <cellStyle name="Accent1 2" xfId="21" xr:uid="{00000000-0005-0000-0000-000013000000}"/>
    <cellStyle name="Accent2 2" xfId="22" xr:uid="{00000000-0005-0000-0000-000014000000}"/>
    <cellStyle name="Accent3 2" xfId="23" xr:uid="{00000000-0005-0000-0000-000015000000}"/>
    <cellStyle name="Accent4 2" xfId="24" xr:uid="{00000000-0005-0000-0000-000016000000}"/>
    <cellStyle name="Accent5 2" xfId="25" xr:uid="{00000000-0005-0000-0000-000017000000}"/>
    <cellStyle name="Accent6 2" xfId="26" xr:uid="{00000000-0005-0000-0000-000018000000}"/>
    <cellStyle name="Bad 2" xfId="27" xr:uid="{00000000-0005-0000-0000-000019000000}"/>
    <cellStyle name="Calculation 2" xfId="28" xr:uid="{00000000-0005-0000-0000-00001A000000}"/>
    <cellStyle name="Calculation 3" xfId="142" xr:uid="{00000000-0005-0000-0000-00001B000000}"/>
    <cellStyle name="Check Cell 2" xfId="29" xr:uid="{00000000-0005-0000-0000-00001C000000}"/>
    <cellStyle name="Check Cell 2 2" xfId="98" xr:uid="{00000000-0005-0000-0000-00001D000000}"/>
    <cellStyle name="Comma 10 2 2 2 4" xfId="236" xr:uid="{04AE6C00-3A89-455F-8B48-E803D0A2907F}"/>
    <cellStyle name="Comma 2" xfId="30" xr:uid="{00000000-0005-0000-0000-00001F000000}"/>
    <cellStyle name="Comma 2 2" xfId="51" xr:uid="{00000000-0005-0000-0000-000020000000}"/>
    <cellStyle name="Comma 2 2 2" xfId="71" xr:uid="{00000000-0005-0000-0000-000021000000}"/>
    <cellStyle name="Comma 2 2 2 2" xfId="118" xr:uid="{00000000-0005-0000-0000-000022000000}"/>
    <cellStyle name="Comma 2 2 2 2 2" xfId="196" xr:uid="{00000000-0005-0000-0000-000023000000}"/>
    <cellStyle name="Comma 2 2 2 3" xfId="163" xr:uid="{00000000-0005-0000-0000-000024000000}"/>
    <cellStyle name="Comma 2 2 3" xfId="103" xr:uid="{00000000-0005-0000-0000-000025000000}"/>
    <cellStyle name="Comma 2 2 3 2" xfId="183" xr:uid="{00000000-0005-0000-0000-000026000000}"/>
    <cellStyle name="Comma 2 2 4" xfId="150" xr:uid="{00000000-0005-0000-0000-000027000000}"/>
    <cellStyle name="Comma 2 3" xfId="67" xr:uid="{00000000-0005-0000-0000-000028000000}"/>
    <cellStyle name="Comma 2 3 2" xfId="114" xr:uid="{00000000-0005-0000-0000-000029000000}"/>
    <cellStyle name="Comma 2 3 2 2" xfId="192" xr:uid="{00000000-0005-0000-0000-00002A000000}"/>
    <cellStyle name="Comma 2 3 3" xfId="159" xr:uid="{00000000-0005-0000-0000-00002B000000}"/>
    <cellStyle name="Comma 2 4" xfId="99" xr:uid="{00000000-0005-0000-0000-00002C000000}"/>
    <cellStyle name="Comma 2 4 2" xfId="179" xr:uid="{00000000-0005-0000-0000-00002D000000}"/>
    <cellStyle name="Comma 2 5" xfId="146" xr:uid="{00000000-0005-0000-0000-00002E000000}"/>
    <cellStyle name="Comma 2 6" xfId="231" xr:uid="{383C069E-C814-4AAB-83B4-FC639E4F69A8}"/>
    <cellStyle name="Comma 2 7" xfId="239" xr:uid="{EFF5868D-EC5E-43DE-A0B0-3FCF0A3FE446}"/>
    <cellStyle name="Comma 3" xfId="60" xr:uid="{00000000-0005-0000-0000-00002F000000}"/>
    <cellStyle name="Comma 3 2" xfId="77" xr:uid="{00000000-0005-0000-0000-000030000000}"/>
    <cellStyle name="Comma 3 2 2" xfId="122" xr:uid="{00000000-0005-0000-0000-000031000000}"/>
    <cellStyle name="Comma 3 2 2 2" xfId="200" xr:uid="{00000000-0005-0000-0000-000032000000}"/>
    <cellStyle name="Comma 3 2 3" xfId="167" xr:uid="{00000000-0005-0000-0000-000033000000}"/>
    <cellStyle name="Comma 3 3" xfId="107" xr:uid="{00000000-0005-0000-0000-000034000000}"/>
    <cellStyle name="Comma 3 3 2" xfId="187" xr:uid="{00000000-0005-0000-0000-000035000000}"/>
    <cellStyle name="Comma 3 4" xfId="154" xr:uid="{00000000-0005-0000-0000-000036000000}"/>
    <cellStyle name="Comma 4" xfId="63" xr:uid="{00000000-0005-0000-0000-000037000000}"/>
    <cellStyle name="Comma 4 2" xfId="79" xr:uid="{00000000-0005-0000-0000-000038000000}"/>
    <cellStyle name="Comma 4 2 2" xfId="124" xr:uid="{00000000-0005-0000-0000-000039000000}"/>
    <cellStyle name="Comma 4 2 2 2" xfId="202" xr:uid="{00000000-0005-0000-0000-00003A000000}"/>
    <cellStyle name="Comma 4 2 3" xfId="169" xr:uid="{00000000-0005-0000-0000-00003B000000}"/>
    <cellStyle name="Comma 4 3" xfId="88" xr:uid="{00000000-0005-0000-0000-00003C000000}"/>
    <cellStyle name="Comma 4 3 2" xfId="128" xr:uid="{00000000-0005-0000-0000-00003D000000}"/>
    <cellStyle name="Comma 4 3 2 2" xfId="206" xr:uid="{00000000-0005-0000-0000-00003E000000}"/>
    <cellStyle name="Comma 4 3 3" xfId="173" xr:uid="{00000000-0005-0000-0000-00003F000000}"/>
    <cellStyle name="Comma 4 4" xfId="95" xr:uid="{00000000-0005-0000-0000-000040000000}"/>
    <cellStyle name="Comma 4 4 2" xfId="132" xr:uid="{00000000-0005-0000-0000-000041000000}"/>
    <cellStyle name="Comma 4 4 2 2" xfId="210" xr:uid="{00000000-0005-0000-0000-000042000000}"/>
    <cellStyle name="Comma 4 4 3" xfId="177" xr:uid="{00000000-0005-0000-0000-000043000000}"/>
    <cellStyle name="Comma 4 5" xfId="110" xr:uid="{00000000-0005-0000-0000-000044000000}"/>
    <cellStyle name="Comma 4 5 2" xfId="189" xr:uid="{00000000-0005-0000-0000-000045000000}"/>
    <cellStyle name="Comma 4 6" xfId="156" xr:uid="{00000000-0005-0000-0000-000046000000}"/>
    <cellStyle name="Comma 5" xfId="84" xr:uid="{00000000-0005-0000-0000-000047000000}"/>
    <cellStyle name="Comma 5 2" xfId="126" xr:uid="{00000000-0005-0000-0000-000048000000}"/>
    <cellStyle name="Comma 5 2 2" xfId="204" xr:uid="{00000000-0005-0000-0000-000049000000}"/>
    <cellStyle name="Comma 5 3" xfId="171" xr:uid="{00000000-0005-0000-0000-00004A000000}"/>
    <cellStyle name="Comma 6" xfId="92" xr:uid="{00000000-0005-0000-0000-00004B000000}"/>
    <cellStyle name="Comma 6 2" xfId="130" xr:uid="{00000000-0005-0000-0000-00004C000000}"/>
    <cellStyle name="Comma 6 2 2" xfId="208" xr:uid="{00000000-0005-0000-0000-00004D000000}"/>
    <cellStyle name="Comma 6 3" xfId="175" xr:uid="{00000000-0005-0000-0000-00004E000000}"/>
    <cellStyle name="Comma 7" xfId="144" xr:uid="{00000000-0005-0000-0000-00004F000000}"/>
    <cellStyle name="Comma 7 2" xfId="217" xr:uid="{00000000-0005-0000-0000-000050000000}"/>
    <cellStyle name="Comma 7 3" xfId="226" xr:uid="{D7B0469B-BAE4-4373-8601-3B6590C3F601}"/>
    <cellStyle name="Comma 8" xfId="233" xr:uid="{9552A7E7-82DE-43F6-A347-C299750C2A4B}"/>
    <cellStyle name="Comma_scenario cash flows" xfId="56" xr:uid="{00000000-0005-0000-0000-000051000000}"/>
    <cellStyle name="Currency" xfId="1" builtinId="4"/>
    <cellStyle name="Currency 10" xfId="97" xr:uid="{00000000-0005-0000-0000-000053000000}"/>
    <cellStyle name="Currency 10 2" xfId="178" xr:uid="{00000000-0005-0000-0000-000054000000}"/>
    <cellStyle name="Currency 11" xfId="139" xr:uid="{00000000-0005-0000-0000-000055000000}"/>
    <cellStyle name="Currency 11 2" xfId="216" xr:uid="{00000000-0005-0000-0000-000056000000}"/>
    <cellStyle name="Currency 12" xfId="145" xr:uid="{00000000-0005-0000-0000-000057000000}"/>
    <cellStyle name="Currency 13" xfId="218" xr:uid="{00000000-0005-0000-0000-000058000000}"/>
    <cellStyle name="Currency 2" xfId="32" xr:uid="{00000000-0005-0000-0000-000059000000}"/>
    <cellStyle name="Currency 2 2" xfId="53" xr:uid="{00000000-0005-0000-0000-00005A000000}"/>
    <cellStyle name="Currency 2 2 2" xfId="73" xr:uid="{00000000-0005-0000-0000-00005B000000}"/>
    <cellStyle name="Currency 2 2 2 2" xfId="120" xr:uid="{00000000-0005-0000-0000-00005C000000}"/>
    <cellStyle name="Currency 2 2 2 2 2" xfId="198" xr:uid="{00000000-0005-0000-0000-00005D000000}"/>
    <cellStyle name="Currency 2 2 2 3" xfId="165" xr:uid="{00000000-0005-0000-0000-00005E000000}"/>
    <cellStyle name="Currency 2 2 3" xfId="105" xr:uid="{00000000-0005-0000-0000-00005F000000}"/>
    <cellStyle name="Currency 2 2 3 2" xfId="185" xr:uid="{00000000-0005-0000-0000-000060000000}"/>
    <cellStyle name="Currency 2 2 4" xfId="152" xr:uid="{00000000-0005-0000-0000-000061000000}"/>
    <cellStyle name="Currency 2 3" xfId="69" xr:uid="{00000000-0005-0000-0000-000062000000}"/>
    <cellStyle name="Currency 2 3 2" xfId="116" xr:uid="{00000000-0005-0000-0000-000063000000}"/>
    <cellStyle name="Currency 2 3 2 2" xfId="194" xr:uid="{00000000-0005-0000-0000-000064000000}"/>
    <cellStyle name="Currency 2 3 3" xfId="161" xr:uid="{00000000-0005-0000-0000-000065000000}"/>
    <cellStyle name="Currency 2 4" xfId="101" xr:uid="{00000000-0005-0000-0000-000066000000}"/>
    <cellStyle name="Currency 2 4 2" xfId="181" xr:uid="{00000000-0005-0000-0000-000067000000}"/>
    <cellStyle name="Currency 2 5" xfId="148" xr:uid="{00000000-0005-0000-0000-000068000000}"/>
    <cellStyle name="Currency 2 6" xfId="219" xr:uid="{00000000-0005-0000-0000-000069000000}"/>
    <cellStyle name="Currency 2 7" xfId="222" xr:uid="{E7B6DE98-07C9-413A-942C-8631B3D9017E}"/>
    <cellStyle name="Currency 2 7 2" xfId="228" xr:uid="{D8EF4FBB-92DB-4CEE-B940-C353D88F45A0}"/>
    <cellStyle name="Currency 3" xfId="33" xr:uid="{00000000-0005-0000-0000-00006A000000}"/>
    <cellStyle name="Currency 3 2" xfId="54" xr:uid="{00000000-0005-0000-0000-00006B000000}"/>
    <cellStyle name="Currency 3 2 2" xfId="74" xr:uid="{00000000-0005-0000-0000-00006C000000}"/>
    <cellStyle name="Currency 3 2 2 2" xfId="121" xr:uid="{00000000-0005-0000-0000-00006D000000}"/>
    <cellStyle name="Currency 3 2 2 2 2" xfId="199" xr:uid="{00000000-0005-0000-0000-00006E000000}"/>
    <cellStyle name="Currency 3 2 2 3" xfId="166" xr:uid="{00000000-0005-0000-0000-00006F000000}"/>
    <cellStyle name="Currency 3 2 3" xfId="106" xr:uid="{00000000-0005-0000-0000-000070000000}"/>
    <cellStyle name="Currency 3 2 3 2" xfId="186" xr:uid="{00000000-0005-0000-0000-000071000000}"/>
    <cellStyle name="Currency 3 2 4" xfId="153" xr:uid="{00000000-0005-0000-0000-000072000000}"/>
    <cellStyle name="Currency 3 3" xfId="70" xr:uid="{00000000-0005-0000-0000-000073000000}"/>
    <cellStyle name="Currency 3 3 2" xfId="117" xr:uid="{00000000-0005-0000-0000-000074000000}"/>
    <cellStyle name="Currency 3 3 2 2" xfId="195" xr:uid="{00000000-0005-0000-0000-000075000000}"/>
    <cellStyle name="Currency 3 3 3" xfId="162" xr:uid="{00000000-0005-0000-0000-000076000000}"/>
    <cellStyle name="Currency 3 4" xfId="85" xr:uid="{00000000-0005-0000-0000-000077000000}"/>
    <cellStyle name="Currency 3 4 2" xfId="127" xr:uid="{00000000-0005-0000-0000-000078000000}"/>
    <cellStyle name="Currency 3 4 2 2" xfId="205" xr:uid="{00000000-0005-0000-0000-000079000000}"/>
    <cellStyle name="Currency 3 4 3" xfId="172" xr:uid="{00000000-0005-0000-0000-00007A000000}"/>
    <cellStyle name="Currency 3 5" xfId="102" xr:uid="{00000000-0005-0000-0000-00007B000000}"/>
    <cellStyle name="Currency 3 5 2" xfId="182" xr:uid="{00000000-0005-0000-0000-00007C000000}"/>
    <cellStyle name="Currency 3 6" xfId="149" xr:uid="{00000000-0005-0000-0000-00007D000000}"/>
    <cellStyle name="Currency 4" xfId="31" xr:uid="{00000000-0005-0000-0000-00007E000000}"/>
    <cellStyle name="Currency 4 2" xfId="68" xr:uid="{00000000-0005-0000-0000-00007F000000}"/>
    <cellStyle name="Currency 4 2 2" xfId="115" xr:uid="{00000000-0005-0000-0000-000080000000}"/>
    <cellStyle name="Currency 4 2 2 2" xfId="193" xr:uid="{00000000-0005-0000-0000-000081000000}"/>
    <cellStyle name="Currency 4 2 3" xfId="160" xr:uid="{00000000-0005-0000-0000-000082000000}"/>
    <cellStyle name="Currency 4 3" xfId="100" xr:uid="{00000000-0005-0000-0000-000083000000}"/>
    <cellStyle name="Currency 4 3 2" xfId="180" xr:uid="{00000000-0005-0000-0000-000084000000}"/>
    <cellStyle name="Currency 4 4" xfId="147" xr:uid="{00000000-0005-0000-0000-000085000000}"/>
    <cellStyle name="Currency 5" xfId="52" xr:uid="{00000000-0005-0000-0000-000086000000}"/>
    <cellStyle name="Currency 5 2" xfId="72" xr:uid="{00000000-0005-0000-0000-000087000000}"/>
    <cellStyle name="Currency 5 2 2" xfId="119" xr:uid="{00000000-0005-0000-0000-000088000000}"/>
    <cellStyle name="Currency 5 2 2 2" xfId="197" xr:uid="{00000000-0005-0000-0000-000089000000}"/>
    <cellStyle name="Currency 5 2 3" xfId="164" xr:uid="{00000000-0005-0000-0000-00008A000000}"/>
    <cellStyle name="Currency 5 3" xfId="104" xr:uid="{00000000-0005-0000-0000-00008B000000}"/>
    <cellStyle name="Currency 5 3 2" xfId="184" xr:uid="{00000000-0005-0000-0000-00008C000000}"/>
    <cellStyle name="Currency 5 4" xfId="151" xr:uid="{00000000-0005-0000-0000-00008D000000}"/>
    <cellStyle name="Currency 6" xfId="61" xr:uid="{00000000-0005-0000-0000-00008E000000}"/>
    <cellStyle name="Currency 6 2" xfId="78" xr:uid="{00000000-0005-0000-0000-00008F000000}"/>
    <cellStyle name="Currency 6 2 2" xfId="123" xr:uid="{00000000-0005-0000-0000-000090000000}"/>
    <cellStyle name="Currency 6 2 2 2" xfId="201" xr:uid="{00000000-0005-0000-0000-000091000000}"/>
    <cellStyle name="Currency 6 2 3" xfId="168" xr:uid="{00000000-0005-0000-0000-000092000000}"/>
    <cellStyle name="Currency 6 3" xfId="108" xr:uid="{00000000-0005-0000-0000-000093000000}"/>
    <cellStyle name="Currency 6 3 2" xfId="188" xr:uid="{00000000-0005-0000-0000-000094000000}"/>
    <cellStyle name="Currency 6 4" xfId="155" xr:uid="{00000000-0005-0000-0000-000095000000}"/>
    <cellStyle name="Currency 7" xfId="64" xr:uid="{00000000-0005-0000-0000-000096000000}"/>
    <cellStyle name="Currency 7 2" xfId="80" xr:uid="{00000000-0005-0000-0000-000097000000}"/>
    <cellStyle name="Currency 7 2 2" xfId="125" xr:uid="{00000000-0005-0000-0000-000098000000}"/>
    <cellStyle name="Currency 7 2 2 2" xfId="203" xr:uid="{00000000-0005-0000-0000-000099000000}"/>
    <cellStyle name="Currency 7 2 3" xfId="170" xr:uid="{00000000-0005-0000-0000-00009A000000}"/>
    <cellStyle name="Currency 7 3" xfId="90" xr:uid="{00000000-0005-0000-0000-00009B000000}"/>
    <cellStyle name="Currency 7 3 2" xfId="129" xr:uid="{00000000-0005-0000-0000-00009C000000}"/>
    <cellStyle name="Currency 7 3 2 2" xfId="207" xr:uid="{00000000-0005-0000-0000-00009D000000}"/>
    <cellStyle name="Currency 7 3 3" xfId="174" xr:uid="{00000000-0005-0000-0000-00009E000000}"/>
    <cellStyle name="Currency 7 4" xfId="111" xr:uid="{00000000-0005-0000-0000-00009F000000}"/>
    <cellStyle name="Currency 7 4 2" xfId="190" xr:uid="{00000000-0005-0000-0000-0000A0000000}"/>
    <cellStyle name="Currency 7 5" xfId="157" xr:uid="{00000000-0005-0000-0000-0000A1000000}"/>
    <cellStyle name="Currency 8" xfId="66" xr:uid="{00000000-0005-0000-0000-0000A2000000}"/>
    <cellStyle name="Currency 8 2" xfId="113" xr:uid="{00000000-0005-0000-0000-0000A3000000}"/>
    <cellStyle name="Currency 8 2 2" xfId="191" xr:uid="{00000000-0005-0000-0000-0000A4000000}"/>
    <cellStyle name="Currency 8 3" xfId="158" xr:uid="{00000000-0005-0000-0000-0000A5000000}"/>
    <cellStyle name="Currency 9" xfId="93" xr:uid="{00000000-0005-0000-0000-0000A6000000}"/>
    <cellStyle name="Currency 9 2" xfId="131" xr:uid="{00000000-0005-0000-0000-0000A7000000}"/>
    <cellStyle name="Currency 9 2 2" xfId="209" xr:uid="{00000000-0005-0000-0000-0000A8000000}"/>
    <cellStyle name="Currency 9 3" xfId="176" xr:uid="{00000000-0005-0000-0000-0000A9000000}"/>
    <cellStyle name="Currency_scenario cash flows" xfId="55" xr:uid="{00000000-0005-0000-0000-0000AA000000}"/>
    <cellStyle name="Explanatory Text 2" xfId="34" xr:uid="{00000000-0005-0000-0000-0000AB000000}"/>
    <cellStyle name="Good 2" xfId="35" xr:uid="{00000000-0005-0000-0000-0000AC000000}"/>
    <cellStyle name="Heading 1 2" xfId="36" xr:uid="{00000000-0005-0000-0000-0000AD000000}"/>
    <cellStyle name="Heading 2 2" xfId="37" xr:uid="{00000000-0005-0000-0000-0000AE000000}"/>
    <cellStyle name="Heading 3 2" xfId="38" xr:uid="{00000000-0005-0000-0000-0000AF000000}"/>
    <cellStyle name="Heading 4 2" xfId="39" xr:uid="{00000000-0005-0000-0000-0000B0000000}"/>
    <cellStyle name="Hyperlink 2" xfId="86" xr:uid="{00000000-0005-0000-0000-0000B2000000}"/>
    <cellStyle name="Hyperlink 2 2" xfId="223" xr:uid="{ACA9752B-D00D-4304-B16F-5A9D223B1B47}"/>
    <cellStyle name="Input 2" xfId="40" xr:uid="{00000000-0005-0000-0000-0000B3000000}"/>
    <cellStyle name="Input 3" xfId="141" xr:uid="{00000000-0005-0000-0000-0000B4000000}"/>
    <cellStyle name="Linked Cell 2" xfId="41" xr:uid="{00000000-0005-0000-0000-0000B5000000}"/>
    <cellStyle name="Neutral 2" xfId="42" xr:uid="{00000000-0005-0000-0000-0000B6000000}"/>
    <cellStyle name="Normal" xfId="0" builtinId="0"/>
    <cellStyle name="Normal 10" xfId="137" xr:uid="{00000000-0005-0000-0000-0000B8000000}"/>
    <cellStyle name="Normal 10 2" xfId="215" xr:uid="{00000000-0005-0000-0000-0000B9000000}"/>
    <cellStyle name="Normal 10 2 15" xfId="234" xr:uid="{302D39B0-63E5-4CBC-9A4A-7DCE7EC153F6}"/>
    <cellStyle name="Normal 11" xfId="138" xr:uid="{00000000-0005-0000-0000-0000BA000000}"/>
    <cellStyle name="Normal 12" xfId="143" xr:uid="{00000000-0005-0000-0000-0000BB000000}"/>
    <cellStyle name="Normal 12 2" xfId="238" xr:uid="{8AC0499D-4E86-4FE9-BFD9-3AA1D7E98AED}"/>
    <cellStyle name="Normal 13" xfId="232" xr:uid="{EFB3775F-A435-4FDF-92B5-899F85324BA0}"/>
    <cellStyle name="Normal 2" xfId="43" xr:uid="{00000000-0005-0000-0000-0000BC000000}"/>
    <cellStyle name="Normal 2 2" xfId="96" xr:uid="{00000000-0005-0000-0000-0000BD000000}"/>
    <cellStyle name="Normal 2 2 2" xfId="224" xr:uid="{FB4824A5-EF13-4D96-B029-D053D13E8F10}"/>
    <cellStyle name="Normal 2 3" xfId="220" xr:uid="{07FBA243-7628-4CE1-9C9A-351C7FF9CB19}"/>
    <cellStyle name="Normal 2 3 2" xfId="227" xr:uid="{AD530006-BB40-4A31-A920-080F145AC4D0}"/>
    <cellStyle name="Normal 3" xfId="2" xr:uid="{00000000-0005-0000-0000-0000BE000000}"/>
    <cellStyle name="Normal 3 2" xfId="82" xr:uid="{00000000-0005-0000-0000-0000BF000000}"/>
    <cellStyle name="Normal 3 2 2" xfId="94" xr:uid="{00000000-0005-0000-0000-0000C0000000}"/>
    <cellStyle name="Normal 4" xfId="57" xr:uid="{00000000-0005-0000-0000-0000C1000000}"/>
    <cellStyle name="Normal 4 2" xfId="75" xr:uid="{00000000-0005-0000-0000-0000C2000000}"/>
    <cellStyle name="Normal 5" xfId="62" xr:uid="{00000000-0005-0000-0000-0000C3000000}"/>
    <cellStyle name="Normal 5 2" xfId="109" xr:uid="{00000000-0005-0000-0000-0000C4000000}"/>
    <cellStyle name="Normal 6" xfId="87" xr:uid="{00000000-0005-0000-0000-0000C5000000}"/>
    <cellStyle name="Normal 6 2" xfId="91" xr:uid="{00000000-0005-0000-0000-0000C6000000}"/>
    <cellStyle name="Normal 7" xfId="133" xr:uid="{00000000-0005-0000-0000-0000C7000000}"/>
    <cellStyle name="Normal 7 2" xfId="135" xr:uid="{00000000-0005-0000-0000-0000C8000000}"/>
    <cellStyle name="Normal 7 2 2" xfId="213" xr:uid="{00000000-0005-0000-0000-0000C9000000}"/>
    <cellStyle name="Normal 7 3" xfId="211" xr:uid="{00000000-0005-0000-0000-0000CA000000}"/>
    <cellStyle name="Normal 8" xfId="134" xr:uid="{00000000-0005-0000-0000-0000CB000000}"/>
    <cellStyle name="Normal 8 2" xfId="212" xr:uid="{00000000-0005-0000-0000-0000CC000000}"/>
    <cellStyle name="Normal 9" xfId="136" xr:uid="{00000000-0005-0000-0000-0000CD000000}"/>
    <cellStyle name="Normal 9 2" xfId="214" xr:uid="{00000000-0005-0000-0000-0000CE000000}"/>
    <cellStyle name="Note 2" xfId="44" xr:uid="{00000000-0005-0000-0000-0000D0000000}"/>
    <cellStyle name="Output 2" xfId="45" xr:uid="{00000000-0005-0000-0000-0000D1000000}"/>
    <cellStyle name="Percent" xfId="81" builtinId="5"/>
    <cellStyle name="Percent 0" xfId="237" xr:uid="{9FCCCB83-7121-488D-8AE6-EB05CC5BCB47}"/>
    <cellStyle name="Percent 2" xfId="46" xr:uid="{00000000-0005-0000-0000-0000D3000000}"/>
    <cellStyle name="Percent 2 2" xfId="83" xr:uid="{00000000-0005-0000-0000-0000D4000000}"/>
    <cellStyle name="Percent 2 2 2" xfId="225" xr:uid="{8AC8DA9A-F6A7-415C-AFB5-A082FA10E5BB}"/>
    <cellStyle name="Percent 2 3" xfId="221" xr:uid="{55892A83-99F2-4D4E-9FDF-B9297BED95AC}"/>
    <cellStyle name="Percent 2 3 2" xfId="229" xr:uid="{D30DDC24-FA4A-463C-B91C-CDE3234AB8FC}"/>
    <cellStyle name="Percent 2 4" xfId="230" xr:uid="{8DE55CB5-0309-4640-A3D5-A5FD32CBAF18}"/>
    <cellStyle name="Percent 3" xfId="47" xr:uid="{00000000-0005-0000-0000-0000D5000000}"/>
    <cellStyle name="Percent 3 2" xfId="59" xr:uid="{00000000-0005-0000-0000-0000D6000000}"/>
    <cellStyle name="Percent 4" xfId="58" xr:uid="{00000000-0005-0000-0000-0000D7000000}"/>
    <cellStyle name="Percent 4 2" xfId="76" xr:uid="{00000000-0005-0000-0000-0000D8000000}"/>
    <cellStyle name="Percent 5" xfId="65" xr:uid="{00000000-0005-0000-0000-0000D9000000}"/>
    <cellStyle name="Percent 5 2" xfId="89" xr:uid="{00000000-0005-0000-0000-0000DA000000}"/>
    <cellStyle name="Percent 5 3" xfId="112" xr:uid="{00000000-0005-0000-0000-0000DB000000}"/>
    <cellStyle name="R07L" xfId="235" xr:uid="{D6B22C8C-3E82-4E28-BCCE-0B3840B53188}"/>
    <cellStyle name="Title 2" xfId="48" xr:uid="{00000000-0005-0000-0000-0000DC000000}"/>
    <cellStyle name="Total 2" xfId="49" xr:uid="{00000000-0005-0000-0000-0000DD000000}"/>
    <cellStyle name="Warning Text 2" xfId="50" xr:uid="{00000000-0005-0000-0000-0000DE000000}"/>
  </cellStyles>
  <dxfs count="16">
    <dxf>
      <fill>
        <patternFill>
          <bgColor rgb="FFFF0000"/>
        </patternFill>
      </fill>
    </dxf>
    <dxf>
      <font>
        <b val="0"/>
        <i val="0"/>
        <strike val="0"/>
        <condense val="0"/>
        <extend val="0"/>
        <outline val="0"/>
        <shadow val="0"/>
        <u val="none"/>
        <vertAlign val="baseline"/>
        <sz val="11"/>
        <color auto="1"/>
        <name val="Calibri"/>
        <scheme val="minor"/>
      </font>
      <numFmt numFmtId="167" formatCode="_-&quot;$&quot;* #,##0_-;\-&quot;$&quot;* #,##0_-;_-&quot;$&quot;* &quot;-&quot;??_-;_-@_-"/>
      <alignment horizontal="general"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auto="1"/>
        <name val="Calibri"/>
        <scheme val="none"/>
      </font>
      <numFmt numFmtId="13" formatCode="0%"/>
      <fill>
        <patternFill patternType="none">
          <fgColor indexed="64"/>
          <bgColor indexed="65"/>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0"/>
    </dxf>
    <dxf>
      <font>
        <b val="0"/>
        <i val="0"/>
        <strike val="0"/>
        <condense val="0"/>
        <extend val="0"/>
        <outline val="0"/>
        <shadow val="0"/>
        <u val="none"/>
        <vertAlign val="baseline"/>
        <sz val="11"/>
        <color auto="1"/>
        <name val="Calibri"/>
        <scheme val="none"/>
      </font>
      <numFmt numFmtId="13" formatCode="0%"/>
      <fill>
        <patternFill patternType="none">
          <fgColor indexed="64"/>
          <bgColor indexed="65"/>
        </patternFill>
      </fill>
      <alignment horizontal="center" vertical="center" textRotation="0" wrapText="1" indent="0" justifyLastLine="0" shrinkToFit="0" readingOrder="0"/>
      <border diagonalUp="0" diagonalDown="0">
        <left/>
        <right style="thin">
          <color indexed="64"/>
        </right>
        <top style="thin">
          <color indexed="64"/>
        </top>
        <bottom style="thin">
          <color indexed="64"/>
        </bottom>
      </border>
      <protection locked="1" hidden="0"/>
    </dxf>
    <dxf>
      <font>
        <b val="0"/>
        <i val="0"/>
        <strike val="0"/>
        <condense val="0"/>
        <extend val="0"/>
        <outline val="0"/>
        <shadow val="0"/>
        <u val="none"/>
        <vertAlign val="baseline"/>
        <sz val="11"/>
        <color auto="1"/>
        <name val="Calibri"/>
        <scheme val="minor"/>
      </font>
      <numFmt numFmtId="167" formatCode="_-&quot;$&quot;* #,##0_-;\-&quot;$&quot;* #,##0_-;_-&quot;$&quot;* &quot;-&quot;??_-;_-@_-"/>
      <alignment horizontal="general" vertical="center" textRotation="0" wrapText="0" indent="0" justifyLastLine="0" shrinkToFit="0" readingOrder="0"/>
      <border diagonalUp="0" diagonalDown="0" outline="0">
        <left/>
        <right style="thin">
          <color indexed="64"/>
        </right>
        <top style="thin">
          <color indexed="64"/>
        </top>
        <bottom style="thin">
          <color indexed="64"/>
        </bottom>
      </border>
    </dxf>
    <dxf>
      <font>
        <b val="0"/>
        <i val="0"/>
        <strike val="0"/>
        <condense val="0"/>
        <extend val="0"/>
        <outline val="0"/>
        <shadow val="0"/>
        <u val="none"/>
        <vertAlign val="baseline"/>
        <sz val="11"/>
        <color auto="1"/>
        <name val="Calibri"/>
        <scheme val="none"/>
      </font>
      <numFmt numFmtId="167" formatCode="_-&quot;$&quot;* #,##0_-;\-&quot;$&quot;* #,##0_-;_-&quot;$&quot;* &quot;-&quot;??_-;_-@_-"/>
      <fill>
        <patternFill patternType="none">
          <fgColor indexed="64"/>
          <bgColor indexed="65"/>
        </patternFill>
      </fill>
      <alignment horizontal="center" vertical="center" textRotation="0" wrapText="1" indent="0" justifyLastLine="0" shrinkToFit="0" readingOrder="0"/>
      <border diagonalUp="0" diagonalDown="0">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auto="1"/>
        <name val="Calibri"/>
        <scheme val="none"/>
      </font>
      <numFmt numFmtId="165" formatCode="_-&quot;$&quot;* #,##0.00_-;\-&quot;$&quot;* #,##0.00_-;_-&quot;$&quot;* &quot;-&quot;??_-;_-@_-"/>
      <fill>
        <patternFill patternType="none">
          <fgColor indexed="64"/>
          <bgColor indexed="65"/>
        </patternFill>
      </fill>
      <alignment horizontal="center" vertical="center" textRotation="0" wrapText="1" indent="0" justifyLastLine="0" shrinkToFit="0" readingOrder="0"/>
      <border diagonalUp="0" diagonalDown="0">
        <left/>
        <right style="thin">
          <color indexed="64"/>
        </right>
        <top style="thin">
          <color indexed="64"/>
        </top>
        <bottom style="thin">
          <color indexed="64"/>
        </bottom>
      </border>
      <protection locked="1" hidden="0"/>
    </dxf>
    <dxf>
      <font>
        <b val="0"/>
        <i val="0"/>
        <strike val="0"/>
        <condense val="0"/>
        <extend val="0"/>
        <outline val="0"/>
        <shadow val="0"/>
        <u val="none"/>
        <vertAlign val="baseline"/>
        <sz val="11"/>
        <color auto="1"/>
        <name val="Calibri"/>
        <scheme val="none"/>
      </font>
      <alignment horizontal="center" vertical="center" textRotation="0" wrapText="0" indent="0" justifyLastLine="0" shrinkToFit="0" readingOrder="0"/>
      <border diagonalUp="0" diagonalDown="0" outline="0">
        <left style="thin">
          <color indexed="64"/>
        </left>
        <right/>
        <top style="thin">
          <color indexed="64"/>
        </top>
        <bottom style="thin">
          <color indexed="64"/>
        </bottom>
      </border>
    </dxf>
    <dxf>
      <font>
        <b val="0"/>
        <i val="0"/>
        <strike val="0"/>
        <condense val="0"/>
        <extend val="0"/>
        <outline val="0"/>
        <shadow val="0"/>
        <u val="none"/>
        <vertAlign val="baseline"/>
        <sz val="11"/>
        <color auto="1"/>
        <name val="Calibri"/>
        <scheme val="none"/>
      </font>
      <numFmt numFmtId="0" formatCode="General"/>
      <fill>
        <patternFill patternType="none">
          <fgColor indexed="64"/>
          <bgColor indexed="65"/>
        </patternFill>
      </fill>
      <alignment horizontal="center" vertical="center" textRotation="0" wrapText="1" indent="0" justifyLastLine="0" shrinkToFit="0" readingOrder="0"/>
      <border diagonalUp="0" diagonalDown="0">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auto="1"/>
        <name val="Calibri"/>
        <scheme val="none"/>
      </font>
      <numFmt numFmtId="0" formatCode="General"/>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auto="1"/>
        <name val="Calibri"/>
        <family val="2"/>
        <scheme val="minor"/>
      </font>
      <numFmt numFmtId="0" formatCode="General"/>
      <fill>
        <patternFill patternType="solid">
          <fgColor indexed="64"/>
          <bgColor theme="4" tint="0.79998168889431442"/>
        </patternFill>
      </fill>
      <alignment horizontal="left" vertical="center" textRotation="0" wrapText="0" indent="0" justifyLastLine="0" shrinkToFit="0" readingOrder="0"/>
      <border diagonalUp="0" diagonalDown="0" outline="0">
        <left/>
        <right style="thin">
          <color indexed="64"/>
        </right>
        <top style="thin">
          <color indexed="64"/>
        </top>
        <bottom style="thin">
          <color indexed="64"/>
        </bottom>
      </border>
    </dxf>
    <dxf>
      <font>
        <b val="0"/>
        <i val="0"/>
        <strike val="0"/>
        <condense val="0"/>
        <extend val="0"/>
        <outline val="0"/>
        <shadow val="0"/>
        <u val="none"/>
        <vertAlign val="baseline"/>
        <sz val="10"/>
        <color auto="1"/>
        <name val="Calibri"/>
        <family val="2"/>
        <scheme val="minor"/>
      </font>
      <numFmt numFmtId="0" formatCode="General"/>
      <fill>
        <patternFill patternType="none">
          <fgColor indexed="64"/>
          <bgColor indexed="65"/>
        </patternFill>
      </fill>
      <alignment horizontal="center" vertical="center" textRotation="0" wrapText="0" indent="0" justifyLastLine="0" shrinkToFit="0" readingOrder="0"/>
      <border diagonalUp="0" diagonalDown="0" outline="0">
        <left/>
        <right/>
        <top style="thin">
          <color indexed="64"/>
        </top>
        <bottom style="thin">
          <color indexed="64"/>
        </bottom>
      </border>
    </dxf>
    <dxf>
      <border outline="0">
        <top style="thin">
          <color rgb="FF000000"/>
        </top>
      </border>
    </dxf>
    <dxf>
      <border outline="0">
        <left style="thin">
          <color rgb="FF000000"/>
        </left>
        <right style="thin">
          <color rgb="FF000000"/>
        </right>
        <top style="medium">
          <color rgb="FF000000"/>
        </top>
        <bottom style="thin">
          <color rgb="FF000000"/>
        </bottom>
      </border>
    </dxf>
    <dxf>
      <border outline="0">
        <bottom style="thin">
          <color rgb="FF000000"/>
        </bottom>
      </border>
    </dxf>
    <dxf>
      <font>
        <b/>
        <i val="0"/>
        <strike val="0"/>
        <condense val="0"/>
        <extend val="0"/>
        <outline val="0"/>
        <shadow val="0"/>
        <u val="none"/>
        <vertAlign val="baseline"/>
        <sz val="10"/>
        <color auto="1"/>
        <name val="Arial"/>
        <scheme val="none"/>
      </font>
      <fill>
        <patternFill patternType="solid">
          <fgColor indexed="64"/>
          <bgColor theme="6" tint="0.59999389629810485"/>
        </patternFill>
      </fill>
      <alignment horizontal="center" vertical="center" textRotation="0" wrapText="1" indent="0" justifyLastLine="0" shrinkToFit="0" readingOrder="0"/>
      <border diagonalUp="0" diagonalDown="0">
        <left style="thin">
          <color indexed="64"/>
        </left>
        <right style="thin">
          <color indexed="64"/>
        </right>
        <top/>
        <bottom/>
      </border>
      <protection locked="0" hidden="0"/>
    </dxf>
  </dxfs>
  <tableStyles count="0" defaultTableStyle="TableStyleMedium2" defaultPivotStyle="PivotStyleLight16"/>
  <colors>
    <mruColors>
      <color rgb="FFFF7C80"/>
      <color rgb="FFFFE699"/>
      <color rgb="FFFFF915"/>
      <color rgb="FFD9D9D9"/>
      <color rgb="FFBDD7EE"/>
      <color rgb="FFF4EE00"/>
      <color rgb="FFFBABAB"/>
      <color rgb="FF70AD47"/>
      <color rgb="FFFF9999"/>
      <color rgb="FF0066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1</xdr:col>
      <xdr:colOff>2809876</xdr:colOff>
      <xdr:row>12</xdr:row>
      <xdr:rowOff>552449</xdr:rowOff>
    </xdr:from>
    <xdr:to>
      <xdr:col>1</xdr:col>
      <xdr:colOff>4276726</xdr:colOff>
      <xdr:row>12</xdr:row>
      <xdr:rowOff>1563102</xdr:rowOff>
    </xdr:to>
    <xdr:pic>
      <xdr:nvPicPr>
        <xdr:cNvPr id="3" name="Picture 2">
          <a:extLst>
            <a:ext uri="{FF2B5EF4-FFF2-40B4-BE49-F238E27FC236}">
              <a16:creationId xmlns:a16="http://schemas.microsoft.com/office/drawing/2014/main" id="{CAA619B7-5112-816E-DD1A-718ABD1AD987}"/>
            </a:ext>
          </a:extLst>
        </xdr:cNvPr>
        <xdr:cNvPicPr>
          <a:picLocks noChangeAspect="1"/>
        </xdr:cNvPicPr>
      </xdr:nvPicPr>
      <xdr:blipFill>
        <a:blip xmlns:r="http://schemas.openxmlformats.org/officeDocument/2006/relationships" r:embed="rId1"/>
        <a:stretch>
          <a:fillRect/>
        </a:stretch>
      </xdr:blipFill>
      <xdr:spPr>
        <a:xfrm>
          <a:off x="4876801" y="4848224"/>
          <a:ext cx="1466850" cy="1010653"/>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7</xdr:col>
      <xdr:colOff>632884</xdr:colOff>
      <xdr:row>2</xdr:row>
      <xdr:rowOff>185208</xdr:rowOff>
    </xdr:from>
    <xdr:to>
      <xdr:col>11</xdr:col>
      <xdr:colOff>161728</xdr:colOff>
      <xdr:row>5</xdr:row>
      <xdr:rowOff>114583</xdr:rowOff>
    </xdr:to>
    <xdr:pic>
      <xdr:nvPicPr>
        <xdr:cNvPr id="4" name="Picture 3">
          <a:extLst>
            <a:ext uri="{FF2B5EF4-FFF2-40B4-BE49-F238E27FC236}">
              <a16:creationId xmlns:a16="http://schemas.microsoft.com/office/drawing/2014/main" id="{878B7CAE-5AE8-9913-715A-5B9A9A75FD72}"/>
            </a:ext>
          </a:extLst>
        </xdr:cNvPr>
        <xdr:cNvPicPr>
          <a:picLocks noChangeAspect="1"/>
        </xdr:cNvPicPr>
      </xdr:nvPicPr>
      <xdr:blipFill>
        <a:blip xmlns:r="http://schemas.openxmlformats.org/officeDocument/2006/relationships" r:embed="rId1"/>
        <a:stretch>
          <a:fillRect/>
        </a:stretch>
      </xdr:blipFill>
      <xdr:spPr>
        <a:xfrm>
          <a:off x="8214784" y="756708"/>
          <a:ext cx="3887259" cy="601568"/>
        </a:xfrm>
        <a:prstGeom prst="rect">
          <a:avLst/>
        </a:prstGeom>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8" xr:uid="{9A5A5BEB-5848-4DBE-B021-5A0C79AA88EF}" name="Table19578101112131423617272815161718720232529" displayName="Table19578101112131423617272815161718720232529" ref="A11:K14" totalsRowShown="0" headerRowDxfId="15" headerRowBorderDxfId="14" tableBorderDxfId="13" totalsRowBorderDxfId="12">
  <tableColumns count="11">
    <tableColumn id="1" xr3:uid="{FF17AE77-64EF-43F8-8B1C-0B626B6D2074}" name="a" dataDxfId="11" dataCellStyle="Normal 2 3"/>
    <tableColumn id="2" xr3:uid="{8EB48278-007B-4016-A588-858BF92089FA}" name="b" dataDxfId="10" dataCellStyle="Normal 2 3">
      <calculatedColumnFormula>INDEX('R-Recreation'!$C$6:$C$34,MATCH(Table19578101112131423617272815161718720232529[[#This Row],[a]],'R-Recreation'!$B$6:$B$34,0))</calculatedColumnFormula>
    </tableColumn>
    <tableColumn id="4" xr3:uid="{C5043DDC-B9A6-4F23-B3E9-50155AF5A53E}" name="c" dataDxfId="9">
      <calculatedColumnFormula>INDEX('R-Recreation'!$F$6:$F$10,MATCH(Table19578101112131423617272815161718720232529[[#This Row],[a]],'R-Recreation'!$B$6:$B$10,0))</calculatedColumnFormula>
    </tableColumn>
    <tableColumn id="5" xr3:uid="{65BD9D74-2D65-4869-9155-F1BF8255E3E2}" name="d" dataDxfId="8" dataCellStyle="Normal 2">
      <calculatedColumnFormula>INDEX('R-Recreation'!$G$6:$G$10,MATCH(Table19578101112131423617272815161718720232529[[#This Row],[a]],'R-Recreation'!$B$6:$B$10,0))</calculatedColumnFormula>
    </tableColumn>
    <tableColumn id="6" xr3:uid="{E36191F9-6A3E-4610-AD55-A21627CC4DA1}" name="e" dataDxfId="7">
      <calculatedColumnFormula>(D12-C12)+1</calculatedColumnFormula>
    </tableColumn>
    <tableColumn id="7" xr3:uid="{53E03018-4F46-439C-9EF0-7F21D73455E4}" name="f" dataDxfId="6" dataCellStyle="Currency">
      <calculatedColumnFormula>INDEX('R-Recreation'!$N$6:$N$10,MATCH(Table19578101112131423617272815161718720232529[[#This Row],[a]],'R-Recreation'!$B$6:$B$10,0))</calculatedColumnFormula>
    </tableColumn>
    <tableColumn id="8" xr3:uid="{65F8FD80-92F4-4AB6-B069-E360155938A2}" name="g" dataDxfId="5" dataCellStyle="Currency"/>
    <tableColumn id="3" xr3:uid="{5BA3C3BD-92CD-4CBB-ADC1-09D4BC4F9DDF}" name="h" dataDxfId="4">
      <calculatedColumnFormula>+Table19578101112131423617272815161718720232529[[#This Row],[f]]-Table19578101112131423617272815161718720232529[[#This Row],[g]]</calculatedColumnFormula>
    </tableColumn>
    <tableColumn id="12" xr3:uid="{96245B4E-8B3A-4268-9B91-32214EB9A423}" name="i" dataDxfId="3" dataCellStyle="Percent">
      <calculatedColumnFormula>INDEX('R-Recreation'!$H$6:$H$10,MATCH(Table19578101112131423617272815161718720232529[[#This Row],[a]],'R-Recreation'!$B$6:$B$10,0))</calculatedColumnFormula>
    </tableColumn>
    <tableColumn id="10" xr3:uid="{16153DEF-0775-42E6-9D82-9C13EB3481C0}" name="j" dataDxfId="2" dataCellStyle="Percent">
      <calculatedColumnFormula>1-Table19578101112131423617272815161718720232529[[#This Row],[i]]</calculatedColumnFormula>
    </tableColumn>
    <tableColumn id="11" xr3:uid="{CA9DC8C2-BC0F-4EED-B676-4F7FB59DF15B}" name="k" dataDxfId="1">
      <calculatedColumnFormula>(Table19578101112131423617272815161718720232529[[#This Row],[h]]*Table19578101112131423617272815161718720232529[[#This Row],[i]])</calculatedColumnFormula>
    </tableColumn>
  </tableColumns>
  <tableStyleInfo name="TableStyleMedium15"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3B3C64-E4D5-4B7F-8AEE-78C03EA01DC0}">
  <sheetPr codeName="Sheet1"/>
  <dimension ref="A1:N16"/>
  <sheetViews>
    <sheetView showGridLines="0" workbookViewId="0">
      <selection activeCell="F7" sqref="F7"/>
    </sheetView>
  </sheetViews>
  <sheetFormatPr defaultColWidth="9.109375" defaultRowHeight="14.4"/>
  <cols>
    <col min="1" max="1" width="31" style="354" customWidth="1"/>
    <col min="2" max="2" width="123.88671875" style="354" customWidth="1"/>
    <col min="3" max="16384" width="9.109375" style="354"/>
  </cols>
  <sheetData>
    <row r="1" spans="1:14" ht="18.600000000000001" thickBot="1">
      <c r="A1" s="478" t="s">
        <v>161</v>
      </c>
      <c r="B1" s="479"/>
    </row>
    <row r="2" spans="1:14" ht="84.75" customHeight="1">
      <c r="A2" s="480" t="s">
        <v>206</v>
      </c>
      <c r="B2" s="481"/>
      <c r="C2" s="367"/>
      <c r="D2" s="367"/>
      <c r="E2" s="367"/>
      <c r="F2" s="367"/>
      <c r="G2" s="367"/>
      <c r="H2" s="367"/>
      <c r="I2" s="367"/>
      <c r="J2" s="367"/>
      <c r="K2" s="367"/>
      <c r="L2" s="367"/>
      <c r="M2" s="367"/>
    </row>
    <row r="4" spans="1:14">
      <c r="A4" s="368" t="s">
        <v>163</v>
      </c>
      <c r="B4" s="368" t="s">
        <v>162</v>
      </c>
    </row>
    <row r="5" spans="1:14" ht="29.25" customHeight="1">
      <c r="A5" s="415" t="s">
        <v>175</v>
      </c>
      <c r="B5" s="416" t="s">
        <v>207</v>
      </c>
    </row>
    <row r="6" spans="1:14" ht="28.8">
      <c r="A6" s="415" t="s">
        <v>164</v>
      </c>
      <c r="B6" s="416" t="s">
        <v>176</v>
      </c>
    </row>
    <row r="7" spans="1:14" ht="30" customHeight="1">
      <c r="A7" s="415" t="s">
        <v>165</v>
      </c>
      <c r="B7" s="416" t="s">
        <v>168</v>
      </c>
    </row>
    <row r="8" spans="1:14" ht="28.8">
      <c r="A8" s="415" t="s">
        <v>167</v>
      </c>
      <c r="B8" s="416" t="s">
        <v>169</v>
      </c>
    </row>
    <row r="9" spans="1:14">
      <c r="A9" s="415" t="s">
        <v>170</v>
      </c>
      <c r="B9" s="416" t="s">
        <v>208</v>
      </c>
    </row>
    <row r="10" spans="1:14" ht="28.8">
      <c r="A10" s="415" t="s">
        <v>171</v>
      </c>
      <c r="B10" s="416" t="s">
        <v>177</v>
      </c>
    </row>
    <row r="11" spans="1:14">
      <c r="A11" s="415" t="s">
        <v>172</v>
      </c>
      <c r="B11" s="416" t="s">
        <v>173</v>
      </c>
    </row>
    <row r="12" spans="1:14" ht="15" thickBot="1">
      <c r="A12" s="369"/>
      <c r="B12" s="369"/>
    </row>
    <row r="13" spans="1:14" ht="134.25" customHeight="1" thickBot="1">
      <c r="A13" s="417" t="s">
        <v>200</v>
      </c>
      <c r="B13" s="418" t="s">
        <v>201</v>
      </c>
      <c r="C13"/>
      <c r="D13"/>
      <c r="E13"/>
      <c r="F13"/>
      <c r="G13"/>
      <c r="H13"/>
      <c r="I13"/>
      <c r="J13"/>
      <c r="K13"/>
      <c r="L13"/>
      <c r="M13"/>
      <c r="N13"/>
    </row>
    <row r="14" spans="1:14">
      <c r="A14"/>
      <c r="B14"/>
    </row>
    <row r="15" spans="1:14">
      <c r="A15"/>
      <c r="B15"/>
    </row>
    <row r="16" spans="1:14">
      <c r="A16"/>
      <c r="B16"/>
    </row>
  </sheetData>
  <mergeCells count="2">
    <mergeCell ref="A1:B1"/>
    <mergeCell ref="A2:B2"/>
  </mergeCells>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5">
    <pageSetUpPr fitToPage="1"/>
  </sheetPr>
  <dimension ref="A1:CC63"/>
  <sheetViews>
    <sheetView showGridLines="0" zoomScale="85" zoomScaleNormal="85" workbookViewId="0">
      <selection activeCell="D16" sqref="D16"/>
    </sheetView>
  </sheetViews>
  <sheetFormatPr defaultColWidth="8.88671875" defaultRowHeight="14.4"/>
  <cols>
    <col min="1" max="1" width="87.6640625" style="354" customWidth="1"/>
    <col min="2" max="2" width="21.21875" style="354" customWidth="1"/>
    <col min="3" max="3" width="23.6640625" style="354" customWidth="1"/>
    <col min="4" max="4" width="59.109375" style="354" customWidth="1"/>
    <col min="5" max="6" width="4.44140625" style="354" customWidth="1"/>
    <col min="7" max="7" width="8.88671875" style="354"/>
    <col min="8" max="8" width="10.21875" style="354" customWidth="1"/>
    <col min="9" max="9" width="9.44140625" style="354" customWidth="1"/>
    <col min="10" max="10" width="29.44140625" style="354" customWidth="1"/>
    <col min="11" max="11" width="15.44140625" style="354" customWidth="1"/>
    <col min="12" max="12" width="17" style="354" customWidth="1"/>
    <col min="13" max="16384" width="8.88671875" style="354"/>
  </cols>
  <sheetData>
    <row r="1" spans="1:81">
      <c r="A1" s="357" t="s">
        <v>92</v>
      </c>
    </row>
    <row r="2" spans="1:81" ht="15" thickBot="1"/>
    <row r="3" spans="1:81">
      <c r="A3" s="389" t="s">
        <v>23</v>
      </c>
      <c r="B3" s="390">
        <v>2026</v>
      </c>
      <c r="C3" s="354" t="s">
        <v>24</v>
      </c>
      <c r="G3" s="358"/>
      <c r="H3" s="359"/>
      <c r="I3" s="359"/>
      <c r="J3" s="359"/>
      <c r="K3" s="359"/>
      <c r="L3" s="360"/>
    </row>
    <row r="4" spans="1:81">
      <c r="A4" s="357"/>
      <c r="G4" s="355" t="s">
        <v>129</v>
      </c>
      <c r="H4" s="454"/>
      <c r="I4" s="454"/>
      <c r="J4" s="454"/>
      <c r="K4" s="454"/>
      <c r="L4" s="361"/>
    </row>
    <row r="5" spans="1:81">
      <c r="A5" s="330" t="s">
        <v>25</v>
      </c>
      <c r="B5" s="331"/>
      <c r="C5" s="332"/>
      <c r="D5" s="332" t="s">
        <v>184</v>
      </c>
      <c r="G5" s="355"/>
      <c r="H5" s="454"/>
      <c r="I5" s="454"/>
      <c r="J5" s="454"/>
      <c r="K5" s="454"/>
      <c r="L5" s="361"/>
    </row>
    <row r="6" spans="1:81" ht="28.8">
      <c r="A6" s="333" t="s">
        <v>216</v>
      </c>
      <c r="B6" s="334">
        <f>AVERAGE(K15:K19)</f>
        <v>2.6740000000000003E-2</v>
      </c>
      <c r="C6" s="333" t="s">
        <v>24</v>
      </c>
      <c r="D6" s="335" t="s">
        <v>188</v>
      </c>
      <c r="G6" s="355"/>
      <c r="H6" s="454"/>
      <c r="I6" s="454"/>
      <c r="J6" s="454"/>
      <c r="K6" s="454"/>
      <c r="L6" s="361"/>
      <c r="AA6" s="362"/>
      <c r="AB6" s="482"/>
      <c r="AC6" s="482"/>
    </row>
    <row r="7" spans="1:81" ht="28.8">
      <c r="A7" s="333" t="s">
        <v>217</v>
      </c>
      <c r="B7" s="334">
        <f>AVERAGE(K8:K12)</f>
        <v>4.496E-2</v>
      </c>
      <c r="C7" s="333" t="s">
        <v>24</v>
      </c>
      <c r="D7" s="335" t="s">
        <v>185</v>
      </c>
      <c r="G7" s="455" t="s">
        <v>130</v>
      </c>
      <c r="J7" s="357" t="s">
        <v>9</v>
      </c>
      <c r="K7" s="357" t="s">
        <v>174</v>
      </c>
      <c r="L7" s="456"/>
      <c r="AA7" s="363"/>
    </row>
    <row r="8" spans="1:81" ht="28.8">
      <c r="A8" s="333" t="s">
        <v>218</v>
      </c>
      <c r="B8" s="334">
        <v>0</v>
      </c>
      <c r="C8" s="333" t="s">
        <v>24</v>
      </c>
      <c r="D8" s="335" t="s">
        <v>215</v>
      </c>
      <c r="G8" s="455"/>
      <c r="J8" s="457">
        <v>2025</v>
      </c>
      <c r="K8" s="458">
        <v>4.6100000000000002E-2</v>
      </c>
      <c r="L8" s="456"/>
      <c r="AA8" s="363"/>
    </row>
    <row r="9" spans="1:81">
      <c r="B9" s="366"/>
      <c r="D9" s="428"/>
      <c r="G9" s="455"/>
      <c r="H9" s="357"/>
      <c r="J9" s="457">
        <v>2024</v>
      </c>
      <c r="K9" s="458">
        <v>5.1900000000000002E-2</v>
      </c>
      <c r="L9" s="456"/>
      <c r="AA9" s="363"/>
    </row>
    <row r="10" spans="1:81" ht="17.399999999999999" thickBot="1">
      <c r="A10" s="419"/>
      <c r="B10" s="419"/>
      <c r="C10" s="419"/>
      <c r="G10" s="455"/>
      <c r="J10" s="457">
        <v>2023</v>
      </c>
      <c r="K10" s="458">
        <v>5.2699999999999997E-2</v>
      </c>
      <c r="L10" s="456"/>
      <c r="AA10" s="363"/>
    </row>
    <row r="11" spans="1:81" ht="17.399999999999999" thickBot="1">
      <c r="A11" s="420" t="s">
        <v>79</v>
      </c>
      <c r="B11" s="483" t="s">
        <v>72</v>
      </c>
      <c r="C11" s="484"/>
      <c r="G11" s="455"/>
      <c r="J11" s="457">
        <v>2022</v>
      </c>
      <c r="K11" s="413">
        <v>4.6199999999999998E-2</v>
      </c>
      <c r="L11" s="456"/>
      <c r="AA11" s="363"/>
    </row>
    <row r="12" spans="1:81" ht="16.8">
      <c r="A12" s="421"/>
      <c r="B12" s="422" t="s">
        <v>203</v>
      </c>
      <c r="C12" s="423" t="s">
        <v>204</v>
      </c>
      <c r="G12" s="455"/>
      <c r="I12" s="459"/>
      <c r="J12" s="457">
        <v>2021</v>
      </c>
      <c r="K12" s="413">
        <v>2.7900000000000001E-2</v>
      </c>
      <c r="L12" s="460"/>
      <c r="AA12" s="363"/>
    </row>
    <row r="13" spans="1:81" ht="16.8">
      <c r="A13" s="424" t="s">
        <v>80</v>
      </c>
      <c r="B13" s="425">
        <v>0.35</v>
      </c>
      <c r="C13" s="426">
        <v>0.5</v>
      </c>
      <c r="D13" s="357"/>
      <c r="E13" s="357"/>
      <c r="F13" s="357"/>
      <c r="G13" s="455"/>
      <c r="I13" s="459"/>
      <c r="J13" s="459"/>
      <c r="K13" s="459"/>
      <c r="L13" s="460"/>
      <c r="AA13" s="362"/>
    </row>
    <row r="14" spans="1:81" ht="19.5" customHeight="1">
      <c r="A14" s="424" t="s">
        <v>205</v>
      </c>
      <c r="B14" s="425">
        <v>0.25</v>
      </c>
      <c r="C14" s="427">
        <v>0.35</v>
      </c>
      <c r="G14" s="455" t="s">
        <v>189</v>
      </c>
      <c r="I14" s="459"/>
      <c r="J14" s="357" t="s">
        <v>9</v>
      </c>
      <c r="K14" s="357" t="s">
        <v>190</v>
      </c>
      <c r="L14" s="460"/>
    </row>
    <row r="15" spans="1:81" ht="16.8">
      <c r="A15" s="424" t="s">
        <v>81</v>
      </c>
      <c r="B15" s="425">
        <v>0.15</v>
      </c>
      <c r="C15" s="427">
        <v>0.25</v>
      </c>
      <c r="G15" s="455"/>
      <c r="J15" s="457">
        <v>2025</v>
      </c>
      <c r="K15" s="366">
        <v>3.0599999999999999E-2</v>
      </c>
      <c r="L15" s="456"/>
      <c r="M15" s="364"/>
      <c r="N15" s="364"/>
      <c r="O15" s="364"/>
      <c r="P15" s="364"/>
      <c r="Q15" s="364"/>
      <c r="R15" s="364"/>
      <c r="S15" s="364"/>
      <c r="T15" s="364"/>
      <c r="U15" s="364"/>
      <c r="V15" s="364"/>
      <c r="W15" s="364"/>
      <c r="X15" s="364"/>
      <c r="Y15" s="364"/>
      <c r="Z15" s="364"/>
      <c r="AA15" s="364"/>
      <c r="AB15" s="364"/>
      <c r="AC15" s="364"/>
      <c r="AD15" s="364"/>
      <c r="AE15" s="364"/>
      <c r="AF15" s="364"/>
      <c r="AG15" s="364"/>
      <c r="AH15" s="364"/>
      <c r="AI15" s="364"/>
      <c r="AJ15" s="364"/>
      <c r="AK15" s="364"/>
      <c r="AL15" s="364"/>
      <c r="AM15" s="364"/>
      <c r="AN15" s="364"/>
      <c r="AO15" s="364"/>
      <c r="AP15" s="364"/>
      <c r="AQ15" s="364"/>
      <c r="AR15" s="364"/>
      <c r="AS15" s="364"/>
      <c r="AT15" s="364"/>
      <c r="AU15" s="364"/>
      <c r="AV15" s="364"/>
      <c r="AW15" s="364"/>
      <c r="AX15" s="364"/>
      <c r="AY15" s="364"/>
      <c r="AZ15" s="364"/>
      <c r="BA15" s="364"/>
      <c r="BB15" s="364"/>
      <c r="BC15" s="364"/>
      <c r="BD15" s="364"/>
      <c r="BE15" s="364"/>
      <c r="BF15" s="364"/>
      <c r="BG15" s="364"/>
      <c r="BH15" s="364"/>
      <c r="BI15" s="364"/>
      <c r="BJ15" s="364"/>
      <c r="BK15" s="364"/>
      <c r="BL15" s="364"/>
      <c r="BM15" s="364"/>
      <c r="BN15" s="364"/>
      <c r="BO15" s="364"/>
      <c r="BP15" s="364"/>
      <c r="BQ15" s="364"/>
      <c r="BR15" s="364"/>
      <c r="BS15" s="364"/>
      <c r="BT15" s="364"/>
      <c r="BU15" s="364"/>
      <c r="BV15" s="364"/>
      <c r="BW15" s="364"/>
      <c r="BX15" s="364"/>
      <c r="BY15" s="364"/>
      <c r="BZ15" s="364"/>
      <c r="CA15" s="364"/>
      <c r="CB15" s="364"/>
      <c r="CC15" s="364"/>
    </row>
    <row r="16" spans="1:81" ht="16.8">
      <c r="A16" s="424" t="s">
        <v>82</v>
      </c>
      <c r="B16" s="425">
        <v>0.1</v>
      </c>
      <c r="C16" s="427">
        <v>0.15</v>
      </c>
      <c r="G16" s="455"/>
      <c r="J16" s="457">
        <v>2024</v>
      </c>
      <c r="K16" s="366">
        <v>2.75E-2</v>
      </c>
      <c r="L16" s="456"/>
      <c r="M16" s="365"/>
      <c r="N16" s="365"/>
      <c r="O16" s="365"/>
      <c r="P16" s="365"/>
      <c r="Q16" s="365"/>
      <c r="R16" s="365"/>
      <c r="S16" s="365"/>
      <c r="T16" s="365"/>
      <c r="U16" s="365"/>
      <c r="V16" s="365"/>
      <c r="W16" s="365"/>
      <c r="X16" s="365"/>
      <c r="Y16" s="365"/>
      <c r="Z16" s="365"/>
      <c r="AA16" s="365"/>
      <c r="AB16" s="365"/>
      <c r="AC16" s="365"/>
      <c r="AD16" s="365"/>
      <c r="AE16" s="365"/>
      <c r="AF16" s="365"/>
      <c r="AG16" s="365"/>
      <c r="AH16" s="365"/>
      <c r="AI16" s="365"/>
      <c r="AJ16" s="365"/>
      <c r="AK16" s="365"/>
      <c r="AL16" s="365"/>
      <c r="AM16" s="365"/>
      <c r="AN16" s="365"/>
      <c r="AO16" s="365"/>
      <c r="AP16" s="365"/>
      <c r="AQ16" s="365"/>
      <c r="AR16" s="365"/>
      <c r="AS16" s="365"/>
      <c r="AT16" s="365"/>
      <c r="AU16" s="365"/>
      <c r="AV16" s="365"/>
      <c r="AW16" s="365"/>
      <c r="AX16" s="365"/>
      <c r="AY16" s="365"/>
      <c r="AZ16" s="365"/>
      <c r="BA16" s="365"/>
      <c r="BB16" s="365"/>
      <c r="BC16" s="365"/>
      <c r="BD16" s="365"/>
      <c r="BE16" s="365"/>
      <c r="BF16" s="365"/>
      <c r="BG16" s="365"/>
      <c r="BH16" s="365"/>
      <c r="BI16" s="365"/>
      <c r="BJ16" s="365"/>
      <c r="BK16" s="365"/>
      <c r="BL16" s="365"/>
      <c r="BM16" s="365"/>
      <c r="BN16" s="365"/>
      <c r="BO16" s="365"/>
      <c r="BP16" s="365"/>
      <c r="BQ16" s="365"/>
      <c r="BR16" s="365"/>
      <c r="BS16" s="365"/>
      <c r="BT16" s="365"/>
      <c r="BU16" s="365"/>
      <c r="BV16" s="365"/>
      <c r="BW16" s="365"/>
      <c r="BX16" s="365"/>
      <c r="BY16" s="365"/>
      <c r="BZ16" s="365"/>
      <c r="CA16" s="365"/>
      <c r="CB16" s="365"/>
      <c r="CC16" s="365"/>
    </row>
    <row r="17" spans="1:81" ht="16.8">
      <c r="A17" s="429"/>
      <c r="B17" s="430"/>
      <c r="C17" s="431"/>
      <c r="G17" s="455"/>
      <c r="J17" s="457">
        <v>2023</v>
      </c>
      <c r="K17" s="366">
        <v>2.8500000000000001E-2</v>
      </c>
      <c r="L17" s="456"/>
      <c r="M17" s="365"/>
      <c r="N17" s="365"/>
      <c r="O17" s="365"/>
      <c r="P17" s="365"/>
      <c r="Q17" s="365"/>
      <c r="R17" s="365"/>
      <c r="S17" s="365"/>
      <c r="T17" s="365"/>
      <c r="U17" s="365"/>
      <c r="V17" s="365"/>
      <c r="W17" s="365"/>
      <c r="X17" s="365"/>
      <c r="Y17" s="365"/>
      <c r="Z17" s="365"/>
      <c r="AA17" s="365"/>
      <c r="AB17" s="365"/>
      <c r="AC17" s="365"/>
      <c r="AD17" s="365"/>
      <c r="AE17" s="365"/>
      <c r="AF17" s="365"/>
      <c r="AG17" s="365"/>
      <c r="AH17" s="365"/>
      <c r="AI17" s="365"/>
      <c r="AJ17" s="365"/>
      <c r="AK17" s="365"/>
      <c r="AL17" s="365"/>
      <c r="AM17" s="365"/>
      <c r="AN17" s="365"/>
      <c r="AO17" s="365"/>
      <c r="AP17" s="365"/>
      <c r="AQ17" s="365"/>
      <c r="AR17" s="365"/>
      <c r="AS17" s="365"/>
      <c r="AT17" s="365"/>
      <c r="AU17" s="365"/>
      <c r="AV17" s="365"/>
      <c r="AW17" s="365"/>
      <c r="AX17" s="365"/>
      <c r="AY17" s="365"/>
      <c r="AZ17" s="365"/>
      <c r="BA17" s="365"/>
      <c r="BB17" s="365"/>
      <c r="BC17" s="365"/>
      <c r="BD17" s="365"/>
      <c r="BE17" s="365"/>
      <c r="BF17" s="365"/>
      <c r="BG17" s="365"/>
      <c r="BH17" s="365"/>
      <c r="BI17" s="365"/>
      <c r="BJ17" s="365"/>
      <c r="BK17" s="365"/>
      <c r="BL17" s="365"/>
      <c r="BM17" s="365"/>
      <c r="BN17" s="365"/>
      <c r="BO17" s="365"/>
      <c r="BP17" s="365"/>
      <c r="BQ17" s="365"/>
      <c r="BR17" s="365"/>
      <c r="BS17" s="365"/>
      <c r="BT17" s="365"/>
      <c r="BU17" s="365"/>
      <c r="BV17" s="365"/>
      <c r="BW17" s="365"/>
      <c r="BX17" s="365"/>
      <c r="BY17" s="365"/>
      <c r="BZ17" s="365"/>
      <c r="CA17" s="365"/>
      <c r="CB17" s="365"/>
      <c r="CC17" s="365"/>
    </row>
    <row r="18" spans="1:81" ht="15" customHeight="1">
      <c r="A18" s="385" t="s">
        <v>155</v>
      </c>
      <c r="B18" s="386"/>
      <c r="G18" s="455"/>
      <c r="J18" s="457">
        <v>2022</v>
      </c>
      <c r="K18" s="366">
        <v>2.1999999999999999E-2</v>
      </c>
      <c r="L18" s="456"/>
    </row>
    <row r="19" spans="1:81" ht="15" thickBot="1">
      <c r="A19" s="384" t="s">
        <v>191</v>
      </c>
      <c r="B19" s="387">
        <v>2.5000000000000001E-2</v>
      </c>
      <c r="G19" s="461"/>
      <c r="H19" s="462"/>
      <c r="I19" s="462"/>
      <c r="J19" s="463">
        <v>2021</v>
      </c>
      <c r="K19" s="464">
        <v>2.5100000000000001E-2</v>
      </c>
      <c r="L19" s="465"/>
    </row>
    <row r="20" spans="1:81">
      <c r="A20" s="333" t="s">
        <v>192</v>
      </c>
      <c r="B20" s="387">
        <v>2.5000000000000001E-2</v>
      </c>
    </row>
    <row r="21" spans="1:81">
      <c r="A21" s="333" t="s">
        <v>193</v>
      </c>
      <c r="B21" s="387">
        <v>0.05</v>
      </c>
      <c r="J21" s="366"/>
      <c r="K21" s="365"/>
    </row>
    <row r="23" spans="1:81">
      <c r="A23" s="330" t="s">
        <v>90</v>
      </c>
      <c r="B23" s="331"/>
      <c r="J23" s="366"/>
      <c r="K23" s="365"/>
    </row>
    <row r="24" spans="1:81">
      <c r="A24" s="388" t="s">
        <v>91</v>
      </c>
      <c r="B24" s="387">
        <v>0.02</v>
      </c>
      <c r="J24" s="366"/>
      <c r="K24" s="365"/>
    </row>
    <row r="25" spans="1:81" ht="15" thickBot="1">
      <c r="J25" s="366"/>
      <c r="K25" s="365"/>
    </row>
    <row r="26" spans="1:81">
      <c r="A26" s="441" t="s">
        <v>28</v>
      </c>
      <c r="B26" s="442"/>
      <c r="J26" s="366"/>
      <c r="K26" s="365"/>
    </row>
    <row r="27" spans="1:81">
      <c r="A27" s="452" t="s">
        <v>209</v>
      </c>
      <c r="B27" s="443">
        <v>0.4</v>
      </c>
      <c r="J27" s="366"/>
      <c r="K27" s="365"/>
    </row>
    <row r="28" spans="1:81">
      <c r="A28" s="452" t="s">
        <v>210</v>
      </c>
      <c r="B28" s="444">
        <v>0.3</v>
      </c>
      <c r="J28" s="366"/>
      <c r="K28" s="365"/>
    </row>
    <row r="29" spans="1:81" ht="15" thickBot="1">
      <c r="A29" s="453" t="s">
        <v>211</v>
      </c>
      <c r="B29" s="445">
        <v>0.3</v>
      </c>
      <c r="J29" s="366"/>
      <c r="K29" s="365"/>
    </row>
    <row r="30" spans="1:81" ht="15" thickBot="1">
      <c r="J30" s="366"/>
      <c r="K30" s="365"/>
    </row>
    <row r="31" spans="1:81">
      <c r="A31" s="446" t="s">
        <v>126</v>
      </c>
      <c r="B31" s="447"/>
      <c r="J31" s="366"/>
      <c r="K31" s="365"/>
    </row>
    <row r="32" spans="1:81" ht="15" thickBot="1">
      <c r="A32" s="448" t="s">
        <v>48</v>
      </c>
      <c r="B32" s="449">
        <f>'2026 Collections Summary'!B2</f>
        <v>2749535.8170220004</v>
      </c>
      <c r="J32" s="366"/>
      <c r="K32" s="365"/>
    </row>
    <row r="33" spans="10:11">
      <c r="J33" s="366"/>
      <c r="K33" s="365"/>
    </row>
    <row r="34" spans="10:11">
      <c r="J34" s="366"/>
      <c r="K34" s="365"/>
    </row>
    <row r="35" spans="10:11">
      <c r="J35" s="366"/>
      <c r="K35" s="365"/>
    </row>
    <row r="36" spans="10:11">
      <c r="J36" s="366"/>
      <c r="K36" s="365"/>
    </row>
    <row r="37" spans="10:11">
      <c r="J37" s="366"/>
      <c r="K37" s="365"/>
    </row>
    <row r="38" spans="10:11">
      <c r="J38" s="366"/>
      <c r="K38" s="365"/>
    </row>
    <row r="39" spans="10:11">
      <c r="J39" s="366"/>
      <c r="K39" s="365"/>
    </row>
    <row r="40" spans="10:11">
      <c r="J40" s="366"/>
      <c r="K40" s="365"/>
    </row>
    <row r="41" spans="10:11">
      <c r="J41" s="366"/>
      <c r="K41" s="365"/>
    </row>
    <row r="42" spans="10:11">
      <c r="J42" s="366"/>
      <c r="K42" s="365"/>
    </row>
    <row r="43" spans="10:11">
      <c r="J43" s="366"/>
      <c r="K43" s="365"/>
    </row>
    <row r="44" spans="10:11">
      <c r="J44" s="366"/>
      <c r="K44" s="365"/>
    </row>
    <row r="45" spans="10:11">
      <c r="J45" s="366"/>
      <c r="K45" s="365"/>
    </row>
    <row r="46" spans="10:11">
      <c r="J46" s="366"/>
      <c r="K46" s="365"/>
    </row>
    <row r="47" spans="10:11">
      <c r="J47" s="366"/>
      <c r="K47" s="365"/>
    </row>
    <row r="48" spans="10:11">
      <c r="J48" s="366"/>
      <c r="K48" s="365"/>
    </row>
    <row r="49" spans="10:11">
      <c r="J49" s="366"/>
      <c r="K49" s="365"/>
    </row>
    <row r="50" spans="10:11">
      <c r="J50" s="366"/>
      <c r="K50" s="365"/>
    </row>
    <row r="51" spans="10:11">
      <c r="J51" s="366"/>
      <c r="K51" s="365"/>
    </row>
    <row r="52" spans="10:11">
      <c r="J52" s="366"/>
      <c r="K52" s="365"/>
    </row>
    <row r="53" spans="10:11">
      <c r="J53" s="366"/>
      <c r="K53" s="365"/>
    </row>
    <row r="54" spans="10:11">
      <c r="J54" s="366"/>
      <c r="K54" s="365"/>
    </row>
    <row r="55" spans="10:11">
      <c r="J55" s="366"/>
      <c r="K55" s="365"/>
    </row>
    <row r="56" spans="10:11">
      <c r="J56" s="366"/>
      <c r="K56" s="365"/>
    </row>
    <row r="57" spans="10:11">
      <c r="J57" s="366"/>
      <c r="K57" s="365"/>
    </row>
    <row r="58" spans="10:11">
      <c r="J58" s="366"/>
      <c r="K58" s="365"/>
    </row>
    <row r="59" spans="10:11">
      <c r="J59" s="366"/>
      <c r="K59" s="365"/>
    </row>
    <row r="60" spans="10:11">
      <c r="J60" s="366"/>
      <c r="K60" s="365"/>
    </row>
    <row r="61" spans="10:11">
      <c r="J61" s="366"/>
      <c r="K61" s="365"/>
    </row>
    <row r="62" spans="10:11">
      <c r="J62" s="366"/>
      <c r="K62" s="365"/>
    </row>
    <row r="63" spans="10:11">
      <c r="J63" s="366"/>
      <c r="K63" s="365"/>
    </row>
  </sheetData>
  <mergeCells count="2">
    <mergeCell ref="AB6:AC6"/>
    <mergeCell ref="B11:C11"/>
  </mergeCells>
  <pageMargins left="0.7" right="0.7" top="0.75" bottom="0.75" header="0.3" footer="0.3"/>
  <pageSetup scale="11"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E97609-5CD0-4EFA-B073-8EE6C0E033B0}">
  <sheetPr codeName="Sheet4"/>
  <dimension ref="A1:E57"/>
  <sheetViews>
    <sheetView showGridLines="0" zoomScaleNormal="100" workbookViewId="0">
      <selection activeCell="E23" sqref="E23"/>
    </sheetView>
  </sheetViews>
  <sheetFormatPr defaultRowHeight="14.4"/>
  <cols>
    <col min="1" max="1" width="37.109375" customWidth="1"/>
    <col min="2" max="2" width="28.109375" customWidth="1"/>
    <col min="3" max="3" width="22.109375" customWidth="1"/>
    <col min="4" max="4" width="25.21875" customWidth="1"/>
    <col min="5" max="5" width="17.21875" customWidth="1"/>
    <col min="6" max="6" width="26.21875" customWidth="1"/>
    <col min="7" max="8" width="20.21875" customWidth="1"/>
  </cols>
  <sheetData>
    <row r="1" spans="1:4" ht="16.2">
      <c r="A1" s="485" t="s">
        <v>131</v>
      </c>
      <c r="B1" s="485"/>
    </row>
    <row r="2" spans="1:4" ht="16.2">
      <c r="A2" s="432" t="s">
        <v>132</v>
      </c>
      <c r="B2" s="433">
        <v>2749535.8170220004</v>
      </c>
    </row>
    <row r="4" spans="1:4" ht="17.399999999999999" thickBot="1">
      <c r="A4" s="336" t="s">
        <v>145</v>
      </c>
      <c r="B4" s="336"/>
      <c r="C4" s="336"/>
    </row>
    <row r="5" spans="1:4" ht="33.6">
      <c r="A5" s="396" t="s">
        <v>133</v>
      </c>
      <c r="B5" s="176" t="s">
        <v>132</v>
      </c>
      <c r="C5" s="395" t="s">
        <v>134</v>
      </c>
    </row>
    <row r="6" spans="1:4" ht="16.8">
      <c r="A6" s="338" t="s">
        <v>148</v>
      </c>
      <c r="B6" s="343">
        <f>65806*C6</f>
        <v>1242746.31</v>
      </c>
      <c r="C6" s="344">
        <v>18.885000000000002</v>
      </c>
    </row>
    <row r="7" spans="1:4" ht="16.8">
      <c r="A7" s="341" t="s">
        <v>149</v>
      </c>
      <c r="B7" s="345">
        <f t="shared" ref="B7:B8" si="0">65806*C7</f>
        <v>817178.90799999994</v>
      </c>
      <c r="C7" s="346">
        <v>12.417999999999999</v>
      </c>
    </row>
    <row r="8" spans="1:4" ht="16.8">
      <c r="A8" s="347" t="s">
        <v>150</v>
      </c>
      <c r="B8" s="348">
        <f t="shared" si="0"/>
        <v>639897.54399999999</v>
      </c>
      <c r="C8" s="349">
        <v>9.7240000000000002</v>
      </c>
    </row>
    <row r="9" spans="1:4" ht="17.399999999999999" thickBot="1">
      <c r="A9" s="394" t="s">
        <v>166</v>
      </c>
      <c r="B9" s="177">
        <f t="shared" ref="B9:C9" si="1">SUM(B6:B8)</f>
        <v>2699822.7620000001</v>
      </c>
      <c r="C9" s="397">
        <f t="shared" si="1"/>
        <v>41.027000000000001</v>
      </c>
    </row>
    <row r="10" spans="1:4" ht="16.8">
      <c r="A10" s="341" t="s">
        <v>151</v>
      </c>
      <c r="B10" s="345"/>
      <c r="C10" s="346">
        <v>4.6639999999999997</v>
      </c>
    </row>
    <row r="11" spans="1:4" ht="16.8">
      <c r="A11" s="341" t="s">
        <v>152</v>
      </c>
      <c r="B11" s="345"/>
      <c r="C11" s="346">
        <v>3.79</v>
      </c>
    </row>
    <row r="12" spans="1:4" ht="16.8">
      <c r="A12" s="341" t="s">
        <v>153</v>
      </c>
      <c r="B12" s="345"/>
      <c r="C12" s="346">
        <v>3.34</v>
      </c>
    </row>
    <row r="13" spans="1:4" ht="16.8">
      <c r="A13" s="347" t="s">
        <v>154</v>
      </c>
      <c r="B13" s="348"/>
      <c r="C13" s="349">
        <v>6.6820000000000004</v>
      </c>
    </row>
    <row r="14" spans="1:4" ht="17.399999999999999" thickBot="1">
      <c r="A14" s="394" t="s">
        <v>198</v>
      </c>
      <c r="B14" s="398"/>
      <c r="C14" s="397">
        <f>SUM(C10:C13)</f>
        <v>18.475999999999999</v>
      </c>
      <c r="D14" s="414" t="s">
        <v>199</v>
      </c>
    </row>
    <row r="16" spans="1:4" ht="17.399999999999999" thickBot="1">
      <c r="A16" s="356" t="s">
        <v>187</v>
      </c>
      <c r="B16" s="337"/>
      <c r="C16" s="337"/>
    </row>
    <row r="17" spans="1:5" ht="16.8">
      <c r="A17" s="399"/>
      <c r="B17" s="249" t="s">
        <v>132</v>
      </c>
      <c r="C17" s="180"/>
    </row>
    <row r="18" spans="1:5" ht="16.8">
      <c r="A18" s="350" t="s">
        <v>156</v>
      </c>
      <c r="B18" s="351">
        <f>B28</f>
        <v>402251.44</v>
      </c>
      <c r="C18" s="181"/>
    </row>
    <row r="19" spans="1:5" ht="16.8">
      <c r="A19" s="352" t="s">
        <v>157</v>
      </c>
      <c r="B19" s="353">
        <f>B9/2</f>
        <v>1349911.3810000001</v>
      </c>
      <c r="C19" s="239" t="s">
        <v>158</v>
      </c>
    </row>
    <row r="20" spans="1:5" ht="17.399999999999999" thickBot="1">
      <c r="A20" s="394" t="s">
        <v>159</v>
      </c>
      <c r="B20" s="177">
        <f>SUM(B18:B19)</f>
        <v>1752162.821</v>
      </c>
      <c r="C20" s="182"/>
    </row>
    <row r="22" spans="1:5" ht="15" thickBot="1">
      <c r="A22" s="356" t="s">
        <v>186</v>
      </c>
      <c r="B22" s="400"/>
      <c r="C22" s="400"/>
    </row>
    <row r="23" spans="1:5" ht="33.6">
      <c r="A23" s="391" t="s">
        <v>133</v>
      </c>
      <c r="B23" s="178" t="s">
        <v>132</v>
      </c>
      <c r="C23" s="392" t="s">
        <v>134</v>
      </c>
    </row>
    <row r="24" spans="1:5" ht="16.8">
      <c r="A24" s="338" t="s">
        <v>135</v>
      </c>
      <c r="B24" s="339">
        <v>17218.355</v>
      </c>
      <c r="C24" s="340">
        <v>0.53900000000000003</v>
      </c>
    </row>
    <row r="25" spans="1:5" ht="16.8">
      <c r="A25" s="341" t="s">
        <v>136</v>
      </c>
      <c r="B25" s="339">
        <v>41816.004999999997</v>
      </c>
      <c r="C25" s="342">
        <v>1.3089999999999999</v>
      </c>
    </row>
    <row r="26" spans="1:5" ht="16.8">
      <c r="A26" s="341" t="s">
        <v>137</v>
      </c>
      <c r="B26" s="339">
        <v>241791.70499999999</v>
      </c>
      <c r="C26" s="342">
        <v>7.569</v>
      </c>
    </row>
    <row r="27" spans="1:5" ht="16.8">
      <c r="A27" s="341" t="s">
        <v>138</v>
      </c>
      <c r="B27" s="339">
        <v>101425.375</v>
      </c>
      <c r="C27" s="342">
        <v>3.1749999999999998</v>
      </c>
    </row>
    <row r="28" spans="1:5" ht="17.399999999999999" thickBot="1">
      <c r="A28" s="394" t="s">
        <v>10</v>
      </c>
      <c r="B28" s="179">
        <f t="shared" ref="B28:C28" si="2">SUM(B24:B27)</f>
        <v>402251.44</v>
      </c>
      <c r="C28" s="393">
        <f t="shared" si="2"/>
        <v>12.591999999999999</v>
      </c>
    </row>
    <row r="29" spans="1:5" ht="25.5" customHeight="1">
      <c r="E29" s="354"/>
    </row>
    <row r="30" spans="1:5" ht="16.8">
      <c r="A30" s="337" t="s">
        <v>160</v>
      </c>
      <c r="B30" s="337"/>
    </row>
    <row r="31" spans="1:5" ht="16.8">
      <c r="A31" s="399"/>
      <c r="B31" s="249" t="s">
        <v>132</v>
      </c>
    </row>
    <row r="32" spans="1:5" ht="16.8">
      <c r="A32" s="352" t="s">
        <v>157</v>
      </c>
      <c r="B32" s="353">
        <f>B9/2</f>
        <v>1349911.3810000001</v>
      </c>
    </row>
    <row r="33" spans="1:2" ht="17.399999999999999" thickBot="1">
      <c r="A33" s="394" t="s">
        <v>160</v>
      </c>
      <c r="B33" s="177">
        <f t="shared" ref="B33" si="3">SUM(B32:B32)</f>
        <v>1349911.3810000001</v>
      </c>
    </row>
    <row r="54" spans="3:3" ht="16.8">
      <c r="C54" s="337"/>
    </row>
    <row r="55" spans="3:3" ht="16.8">
      <c r="C55" s="180"/>
    </row>
    <row r="56" spans="3:3" ht="16.8">
      <c r="C56" s="239"/>
    </row>
    <row r="57" spans="3:3" ht="16.8">
      <c r="C57" s="182"/>
    </row>
  </sheetData>
  <mergeCells count="1">
    <mergeCell ref="A1:B1"/>
  </mergeCells>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633A78-5709-4F7F-9207-D13184581B3A}">
  <sheetPr codeName="Sheet8">
    <tabColor theme="0" tint="-0.14999847407452621"/>
  </sheetPr>
  <dimension ref="A2:T124"/>
  <sheetViews>
    <sheetView showGridLines="0" zoomScale="70" zoomScaleNormal="70" workbookViewId="0">
      <selection activeCell="S17" sqref="S17"/>
    </sheetView>
  </sheetViews>
  <sheetFormatPr defaultColWidth="8.5546875" defaultRowHeight="15" customHeight="1"/>
  <cols>
    <col min="1" max="1" width="38" style="13" customWidth="1"/>
    <col min="2" max="2" width="14.5546875" style="53" customWidth="1"/>
    <col min="3" max="3" width="22.109375" style="53" customWidth="1"/>
    <col min="4" max="4" width="23.21875" style="53" customWidth="1"/>
    <col min="5" max="5" width="15.44140625" style="53" customWidth="1"/>
    <col min="6" max="6" width="14.88671875" style="53" customWidth="1"/>
    <col min="7" max="12" width="14.5546875" style="53" customWidth="1"/>
    <col min="13" max="13" width="8.88671875" style="53" customWidth="1"/>
    <col min="14" max="14" width="11.6640625" style="53" customWidth="1"/>
    <col min="15" max="15" width="13.6640625" style="53" customWidth="1"/>
    <col min="16" max="16" width="3.109375" style="53" customWidth="1"/>
    <col min="17" max="17" width="31.88671875" style="51" customWidth="1"/>
    <col min="18" max="18" width="16.5546875" style="13" customWidth="1"/>
    <col min="19" max="19" width="64.5546875" style="13" customWidth="1"/>
    <col min="20" max="20" width="39.21875" style="13" customWidth="1"/>
    <col min="21" max="16384" width="8.5546875" style="13"/>
  </cols>
  <sheetData>
    <row r="2" spans="2:18" ht="15" customHeight="1" thickBot="1"/>
    <row r="3" spans="2:18" ht="30" customHeight="1" thickBot="1">
      <c r="B3" s="151" t="s">
        <v>122</v>
      </c>
      <c r="Q3" s="252" t="s">
        <v>178</v>
      </c>
      <c r="R3" s="450">
        <f>'2026 Collections Summary'!$C$14</f>
        <v>18.475999999999999</v>
      </c>
    </row>
    <row r="4" spans="2:18" ht="15" customHeight="1" thickBot="1">
      <c r="B4" s="15" t="s">
        <v>123</v>
      </c>
    </row>
    <row r="5" spans="2:18" ht="15" hidden="1" customHeight="1"/>
    <row r="6" spans="2:18" ht="15" hidden="1" customHeight="1">
      <c r="R6" s="246"/>
    </row>
    <row r="7" spans="2:18" ht="15" hidden="1" customHeight="1" thickBot="1">
      <c r="R7" s="247">
        <f>SUM(R15:R124)</f>
        <v>489.27336346029693</v>
      </c>
    </row>
    <row r="8" spans="2:18" ht="15" hidden="1" customHeight="1" thickBot="1">
      <c r="R8" s="248">
        <f t="shared" ref="R8" si="0">R14</f>
        <v>489.27336346029693</v>
      </c>
    </row>
    <row r="9" spans="2:18" ht="12.75" hidden="1" customHeight="1" thickBot="1"/>
    <row r="10" spans="2:18" ht="15" hidden="1" customHeight="1" thickBot="1"/>
    <row r="11" spans="2:18" ht="60" customHeight="1" thickBot="1">
      <c r="B11" s="488" t="s">
        <v>181</v>
      </c>
      <c r="C11" s="489"/>
      <c r="D11" s="489"/>
      <c r="E11" s="489"/>
      <c r="F11" s="489"/>
      <c r="G11" s="489"/>
      <c r="H11" s="489"/>
      <c r="I11" s="489"/>
      <c r="J11" s="489"/>
      <c r="K11" s="489"/>
      <c r="L11" s="490"/>
      <c r="M11" s="148"/>
      <c r="N11" s="493" t="s">
        <v>180</v>
      </c>
      <c r="O11" s="493"/>
      <c r="P11" s="148"/>
      <c r="Q11" s="486" t="s">
        <v>124</v>
      </c>
      <c r="R11" s="487"/>
    </row>
    <row r="12" spans="2:18" ht="44.25" customHeight="1" thickBot="1">
      <c r="B12" s="154" t="s">
        <v>9</v>
      </c>
      <c r="C12" s="115" t="s">
        <v>29</v>
      </c>
      <c r="D12" s="115" t="s">
        <v>106</v>
      </c>
      <c r="E12" s="115" t="s">
        <v>30</v>
      </c>
      <c r="F12" s="115" t="s">
        <v>103</v>
      </c>
      <c r="G12" s="115" t="s">
        <v>104</v>
      </c>
      <c r="H12" s="115" t="s">
        <v>105</v>
      </c>
      <c r="I12" s="115" t="s">
        <v>44</v>
      </c>
      <c r="J12" s="115" t="s">
        <v>45</v>
      </c>
      <c r="K12" s="115" t="s">
        <v>22</v>
      </c>
      <c r="L12" s="155" t="s">
        <v>43</v>
      </c>
      <c r="M12" s="149"/>
      <c r="N12" s="491" t="s">
        <v>146</v>
      </c>
      <c r="O12" s="492"/>
      <c r="P12" s="149"/>
      <c r="Q12" s="152" t="s">
        <v>77</v>
      </c>
      <c r="R12" s="324" t="s">
        <v>78</v>
      </c>
    </row>
    <row r="13" spans="2:18" ht="51.75" customHeight="1" thickBot="1">
      <c r="B13" s="129"/>
      <c r="C13" s="116"/>
      <c r="D13" s="117"/>
      <c r="E13" s="117"/>
      <c r="F13" s="117"/>
      <c r="G13" s="118"/>
      <c r="H13" s="118"/>
      <c r="I13" s="118"/>
      <c r="J13" s="118"/>
      <c r="K13" s="52"/>
      <c r="L13" s="130"/>
      <c r="M13" s="150"/>
      <c r="N13" s="235" t="s">
        <v>147</v>
      </c>
      <c r="O13" s="236" t="s">
        <v>95</v>
      </c>
      <c r="P13" s="150"/>
      <c r="Q13" s="153"/>
      <c r="R13" s="325"/>
    </row>
    <row r="14" spans="2:18" ht="51" customHeight="1" thickBot="1">
      <c r="B14" s="241">
        <v>2025</v>
      </c>
      <c r="C14" s="119">
        <f>(D15-D14)/D14</f>
        <v>4.6263664058299979E-2</v>
      </c>
      <c r="D14" s="120">
        <v>33482</v>
      </c>
      <c r="E14" s="120">
        <v>1549</v>
      </c>
      <c r="F14" s="120">
        <v>934</v>
      </c>
      <c r="G14" s="121">
        <v>19.03</v>
      </c>
      <c r="H14" s="121">
        <v>9.5500000000000007</v>
      </c>
      <c r="I14" s="121">
        <f>+G14+I13</f>
        <v>19.03</v>
      </c>
      <c r="J14" s="121">
        <f>+H14+J13</f>
        <v>9.5500000000000007</v>
      </c>
      <c r="K14" s="122">
        <f t="shared" ref="K14:K77" si="1">ROUND(G14+H14,2)</f>
        <v>28.58</v>
      </c>
      <c r="L14" s="242">
        <v>0</v>
      </c>
      <c r="M14" s="150"/>
      <c r="N14" s="234">
        <v>0</v>
      </c>
      <c r="O14" s="237">
        <v>0</v>
      </c>
      <c r="P14" s="228"/>
      <c r="Q14" s="253" t="s">
        <v>179</v>
      </c>
      <c r="R14" s="227">
        <v>489.27336346029693</v>
      </c>
    </row>
    <row r="15" spans="2:18" ht="15" customHeight="1">
      <c r="B15" s="123">
        <v>2026</v>
      </c>
      <c r="C15" s="124">
        <f t="shared" ref="C15:C76" si="2">(D16-D15)/D15</f>
        <v>4.4217978362022209E-2</v>
      </c>
      <c r="D15" s="125">
        <f>E15+D14</f>
        <v>35031</v>
      </c>
      <c r="E15" s="125">
        <f t="shared" ref="E15:E78" si="3">+E14</f>
        <v>1549</v>
      </c>
      <c r="F15" s="125">
        <v>934</v>
      </c>
      <c r="G15" s="126">
        <v>19.03</v>
      </c>
      <c r="H15" s="126">
        <v>9.5500000000000007</v>
      </c>
      <c r="I15" s="126">
        <f t="shared" ref="I15:J29" si="4">+G15+I14</f>
        <v>38.06</v>
      </c>
      <c r="J15" s="126">
        <f t="shared" si="4"/>
        <v>19.100000000000001</v>
      </c>
      <c r="K15" s="127">
        <f>ROUND(G15+H15,2)</f>
        <v>28.58</v>
      </c>
      <c r="L15" s="128">
        <f t="shared" ref="L15:L78" si="5">+K15+L14</f>
        <v>28.58</v>
      </c>
      <c r="M15" s="150"/>
      <c r="N15" s="240">
        <f>R3</f>
        <v>18.475999999999999</v>
      </c>
      <c r="O15" s="231">
        <f>N15</f>
        <v>18.475999999999999</v>
      </c>
      <c r="P15" s="150"/>
      <c r="Q15" s="123">
        <v>2026</v>
      </c>
      <c r="R15" s="326">
        <f>IF($R$14&gt;O15,N15,IF($R$14-O14&gt;0,$R$14-O14,0))</f>
        <v>18.475999999999999</v>
      </c>
    </row>
    <row r="16" spans="2:18" ht="15" customHeight="1">
      <c r="B16" s="129">
        <v>2027</v>
      </c>
      <c r="C16" s="116">
        <f t="shared" si="2"/>
        <v>4.2345544013121926E-2</v>
      </c>
      <c r="D16" s="117">
        <f>E16+D15</f>
        <v>36580</v>
      </c>
      <c r="E16" s="117">
        <f t="shared" si="3"/>
        <v>1549</v>
      </c>
      <c r="F16" s="117">
        <v>934</v>
      </c>
      <c r="G16" s="118">
        <v>19.03</v>
      </c>
      <c r="H16" s="118">
        <v>9.5500000000000007</v>
      </c>
      <c r="I16" s="118">
        <f t="shared" si="4"/>
        <v>57.09</v>
      </c>
      <c r="J16" s="118">
        <f t="shared" si="4"/>
        <v>28.650000000000002</v>
      </c>
      <c r="K16" s="52">
        <f t="shared" si="1"/>
        <v>28.58</v>
      </c>
      <c r="L16" s="130">
        <f t="shared" si="5"/>
        <v>57.16</v>
      </c>
      <c r="M16" s="150"/>
      <c r="N16" s="232">
        <f>K16</f>
        <v>28.58</v>
      </c>
      <c r="O16" s="229">
        <f>N16+O15</f>
        <v>47.055999999999997</v>
      </c>
      <c r="P16" s="150"/>
      <c r="Q16" s="129">
        <v>2027</v>
      </c>
      <c r="R16" s="327">
        <f t="shared" ref="R16:R79" si="6">IF($R$14&gt;O16,N16,IF($R$14-O15&gt;0,$R$14-O15,0))</f>
        <v>28.58</v>
      </c>
    </row>
    <row r="17" spans="1:18" ht="15" customHeight="1">
      <c r="B17" s="129">
        <v>2028</v>
      </c>
      <c r="C17" s="116">
        <f>(D18-D17)/D17</f>
        <v>4.0625245875842535E-2</v>
      </c>
      <c r="D17" s="117">
        <f t="shared" ref="D17:D77" si="7">E17+D16</f>
        <v>38129</v>
      </c>
      <c r="E17" s="117">
        <f t="shared" si="3"/>
        <v>1549</v>
      </c>
      <c r="F17" s="117">
        <v>934</v>
      </c>
      <c r="G17" s="118">
        <v>19.03</v>
      </c>
      <c r="H17" s="118">
        <v>9.5500000000000007</v>
      </c>
      <c r="I17" s="118">
        <f t="shared" si="4"/>
        <v>76.12</v>
      </c>
      <c r="J17" s="118">
        <f t="shared" si="4"/>
        <v>38.200000000000003</v>
      </c>
      <c r="K17" s="52">
        <f t="shared" si="1"/>
        <v>28.58</v>
      </c>
      <c r="L17" s="130">
        <f t="shared" si="5"/>
        <v>85.74</v>
      </c>
      <c r="M17" s="150"/>
      <c r="N17" s="232">
        <f t="shared" ref="N17:N80" si="8">K17</f>
        <v>28.58</v>
      </c>
      <c r="O17" s="229">
        <f t="shared" ref="O17:O80" si="9">N17+O16</f>
        <v>75.635999999999996</v>
      </c>
      <c r="P17" s="150"/>
      <c r="Q17" s="129">
        <v>2028</v>
      </c>
      <c r="R17" s="327">
        <f t="shared" si="6"/>
        <v>28.58</v>
      </c>
    </row>
    <row r="18" spans="1:18" ht="15" customHeight="1">
      <c r="B18" s="129">
        <v>2029</v>
      </c>
      <c r="C18" s="116">
        <f t="shared" si="2"/>
        <v>3.9039266092040927E-2</v>
      </c>
      <c r="D18" s="117">
        <f t="shared" si="7"/>
        <v>39678</v>
      </c>
      <c r="E18" s="117">
        <f t="shared" si="3"/>
        <v>1549</v>
      </c>
      <c r="F18" s="117">
        <v>934</v>
      </c>
      <c r="G18" s="118">
        <v>19.03</v>
      </c>
      <c r="H18" s="118">
        <v>9.5500000000000007</v>
      </c>
      <c r="I18" s="118">
        <f t="shared" si="4"/>
        <v>95.15</v>
      </c>
      <c r="J18" s="118">
        <f t="shared" si="4"/>
        <v>47.75</v>
      </c>
      <c r="K18" s="52">
        <f t="shared" si="1"/>
        <v>28.58</v>
      </c>
      <c r="L18" s="130">
        <f t="shared" si="5"/>
        <v>114.32</v>
      </c>
      <c r="M18" s="150"/>
      <c r="N18" s="232">
        <f t="shared" si="8"/>
        <v>28.58</v>
      </c>
      <c r="O18" s="229">
        <f t="shared" si="9"/>
        <v>104.21599999999999</v>
      </c>
      <c r="P18" s="150"/>
      <c r="Q18" s="129">
        <v>2029</v>
      </c>
      <c r="R18" s="327">
        <f t="shared" si="6"/>
        <v>28.58</v>
      </c>
    </row>
    <row r="19" spans="1:18" ht="15" customHeight="1">
      <c r="B19" s="129">
        <v>2030</v>
      </c>
      <c r="C19" s="116">
        <f t="shared" si="2"/>
        <v>3.7572464646954663E-2</v>
      </c>
      <c r="D19" s="117">
        <f t="shared" si="7"/>
        <v>41227</v>
      </c>
      <c r="E19" s="117">
        <f t="shared" si="3"/>
        <v>1549</v>
      </c>
      <c r="F19" s="117">
        <v>934</v>
      </c>
      <c r="G19" s="118">
        <v>19.03</v>
      </c>
      <c r="H19" s="118">
        <v>9.5500000000000007</v>
      </c>
      <c r="I19" s="118">
        <f t="shared" si="4"/>
        <v>114.18</v>
      </c>
      <c r="J19" s="118">
        <f t="shared" si="4"/>
        <v>57.3</v>
      </c>
      <c r="K19" s="52">
        <f t="shared" si="1"/>
        <v>28.58</v>
      </c>
      <c r="L19" s="130">
        <f t="shared" si="5"/>
        <v>142.89999999999998</v>
      </c>
      <c r="M19" s="150"/>
      <c r="N19" s="232">
        <f t="shared" si="8"/>
        <v>28.58</v>
      </c>
      <c r="O19" s="229">
        <f t="shared" si="9"/>
        <v>132.79599999999999</v>
      </c>
      <c r="P19" s="150"/>
      <c r="Q19" s="129">
        <v>2030</v>
      </c>
      <c r="R19" s="327">
        <f t="shared" si="6"/>
        <v>28.58</v>
      </c>
    </row>
    <row r="20" spans="1:18" ht="15" customHeight="1">
      <c r="B20" s="129">
        <v>2031</v>
      </c>
      <c r="C20" s="116">
        <f>(D21-D20)/D20</f>
        <v>3.6211894520291756E-2</v>
      </c>
      <c r="D20" s="117">
        <f t="shared" si="7"/>
        <v>42776</v>
      </c>
      <c r="E20" s="117">
        <f t="shared" si="3"/>
        <v>1549</v>
      </c>
      <c r="F20" s="117">
        <v>934</v>
      </c>
      <c r="G20" s="118">
        <v>19.03</v>
      </c>
      <c r="H20" s="118">
        <v>9.5500000000000007</v>
      </c>
      <c r="I20" s="118">
        <f t="shared" si="4"/>
        <v>133.21</v>
      </c>
      <c r="J20" s="118">
        <f t="shared" si="4"/>
        <v>66.849999999999994</v>
      </c>
      <c r="K20" s="52">
        <f t="shared" si="1"/>
        <v>28.58</v>
      </c>
      <c r="L20" s="130">
        <f t="shared" si="5"/>
        <v>171.47999999999996</v>
      </c>
      <c r="M20" s="150"/>
      <c r="N20" s="232">
        <f t="shared" si="8"/>
        <v>28.58</v>
      </c>
      <c r="O20" s="229">
        <f t="shared" si="9"/>
        <v>161.37599999999998</v>
      </c>
      <c r="P20" s="150"/>
      <c r="Q20" s="129">
        <v>2031</v>
      </c>
      <c r="R20" s="327">
        <f t="shared" si="6"/>
        <v>28.58</v>
      </c>
    </row>
    <row r="21" spans="1:18" ht="15" customHeight="1">
      <c r="B21" s="129">
        <v>2032</v>
      </c>
      <c r="C21" s="116">
        <f t="shared" si="2"/>
        <v>3.4946418499717989E-2</v>
      </c>
      <c r="D21" s="117">
        <f t="shared" si="7"/>
        <v>44325</v>
      </c>
      <c r="E21" s="117">
        <f t="shared" si="3"/>
        <v>1549</v>
      </c>
      <c r="F21" s="117">
        <v>934</v>
      </c>
      <c r="G21" s="118">
        <v>19.03</v>
      </c>
      <c r="H21" s="118">
        <v>9.5500000000000007</v>
      </c>
      <c r="I21" s="118">
        <f t="shared" si="4"/>
        <v>152.24</v>
      </c>
      <c r="J21" s="118">
        <f t="shared" si="4"/>
        <v>76.399999999999991</v>
      </c>
      <c r="K21" s="52">
        <f t="shared" si="1"/>
        <v>28.58</v>
      </c>
      <c r="L21" s="130">
        <f t="shared" si="5"/>
        <v>200.05999999999995</v>
      </c>
      <c r="M21" s="150"/>
      <c r="N21" s="232">
        <f t="shared" si="8"/>
        <v>28.58</v>
      </c>
      <c r="O21" s="229">
        <f t="shared" si="9"/>
        <v>189.95599999999996</v>
      </c>
      <c r="P21" s="150"/>
      <c r="Q21" s="129">
        <v>2032</v>
      </c>
      <c r="R21" s="327">
        <f t="shared" si="6"/>
        <v>28.58</v>
      </c>
    </row>
    <row r="22" spans="1:18" ht="15" customHeight="1">
      <c r="B22" s="129">
        <v>2033</v>
      </c>
      <c r="C22" s="116">
        <f t="shared" si="2"/>
        <v>3.3766403627327024E-2</v>
      </c>
      <c r="D22" s="117">
        <f>E22+D21</f>
        <v>45874</v>
      </c>
      <c r="E22" s="117">
        <f t="shared" si="3"/>
        <v>1549</v>
      </c>
      <c r="F22" s="117">
        <v>934</v>
      </c>
      <c r="G22" s="118">
        <v>19.03</v>
      </c>
      <c r="H22" s="118">
        <v>9.5500000000000007</v>
      </c>
      <c r="I22" s="118">
        <f t="shared" si="4"/>
        <v>171.27</v>
      </c>
      <c r="J22" s="118">
        <f t="shared" si="4"/>
        <v>85.949999999999989</v>
      </c>
      <c r="K22" s="52">
        <f t="shared" si="1"/>
        <v>28.58</v>
      </c>
      <c r="L22" s="130">
        <f t="shared" si="5"/>
        <v>228.63999999999993</v>
      </c>
      <c r="M22" s="150"/>
      <c r="N22" s="232">
        <f t="shared" si="8"/>
        <v>28.58</v>
      </c>
      <c r="O22" s="229">
        <f t="shared" si="9"/>
        <v>218.53599999999994</v>
      </c>
      <c r="P22" s="150"/>
      <c r="Q22" s="129">
        <v>2033</v>
      </c>
      <c r="R22" s="327">
        <f t="shared" si="6"/>
        <v>28.58</v>
      </c>
    </row>
    <row r="23" spans="1:18" ht="15" customHeight="1">
      <c r="B23" s="129">
        <v>2034</v>
      </c>
      <c r="C23" s="116">
        <f t="shared" si="2"/>
        <v>3.2663475528751873E-2</v>
      </c>
      <c r="D23" s="117">
        <f t="shared" si="7"/>
        <v>47423</v>
      </c>
      <c r="E23" s="117">
        <f t="shared" si="3"/>
        <v>1549</v>
      </c>
      <c r="F23" s="117">
        <v>934</v>
      </c>
      <c r="G23" s="118">
        <v>19.03</v>
      </c>
      <c r="H23" s="118">
        <v>9.5500000000000007</v>
      </c>
      <c r="I23" s="118">
        <f t="shared" si="4"/>
        <v>190.3</v>
      </c>
      <c r="J23" s="118">
        <f t="shared" si="4"/>
        <v>95.499999999999986</v>
      </c>
      <c r="K23" s="52">
        <f t="shared" si="1"/>
        <v>28.58</v>
      </c>
      <c r="L23" s="130">
        <f t="shared" si="5"/>
        <v>257.21999999999991</v>
      </c>
      <c r="M23" s="150"/>
      <c r="N23" s="232">
        <f t="shared" si="8"/>
        <v>28.58</v>
      </c>
      <c r="O23" s="229">
        <f t="shared" si="9"/>
        <v>247.11599999999993</v>
      </c>
      <c r="P23" s="150"/>
      <c r="Q23" s="129">
        <v>2034</v>
      </c>
      <c r="R23" s="327">
        <f t="shared" si="6"/>
        <v>28.58</v>
      </c>
    </row>
    <row r="24" spans="1:18" ht="15" customHeight="1">
      <c r="B24" s="129">
        <v>2035</v>
      </c>
      <c r="C24" s="116">
        <f t="shared" si="2"/>
        <v>3.1630319366168426E-2</v>
      </c>
      <c r="D24" s="117">
        <f t="shared" si="7"/>
        <v>48972</v>
      </c>
      <c r="E24" s="117">
        <f t="shared" si="3"/>
        <v>1549</v>
      </c>
      <c r="F24" s="117">
        <v>934</v>
      </c>
      <c r="G24" s="118">
        <v>19.03</v>
      </c>
      <c r="H24" s="118">
        <v>9.5500000000000007</v>
      </c>
      <c r="I24" s="118">
        <f t="shared" si="4"/>
        <v>209.33</v>
      </c>
      <c r="J24" s="118">
        <f t="shared" si="4"/>
        <v>105.04999999999998</v>
      </c>
      <c r="K24" s="52">
        <f t="shared" si="1"/>
        <v>28.58</v>
      </c>
      <c r="L24" s="130">
        <f t="shared" si="5"/>
        <v>285.7999999999999</v>
      </c>
      <c r="M24" s="150"/>
      <c r="N24" s="232">
        <f t="shared" si="8"/>
        <v>28.58</v>
      </c>
      <c r="O24" s="229">
        <f t="shared" si="9"/>
        <v>275.69599999999991</v>
      </c>
      <c r="P24" s="150"/>
      <c r="Q24" s="129">
        <v>2035</v>
      </c>
      <c r="R24" s="327">
        <f t="shared" si="6"/>
        <v>28.58</v>
      </c>
    </row>
    <row r="25" spans="1:18" ht="15" customHeight="1">
      <c r="B25" s="129">
        <v>2036</v>
      </c>
      <c r="C25" s="116">
        <f t="shared" si="2"/>
        <v>3.0660517408602362E-2</v>
      </c>
      <c r="D25" s="117">
        <f t="shared" si="7"/>
        <v>50521</v>
      </c>
      <c r="E25" s="117">
        <f t="shared" si="3"/>
        <v>1549</v>
      </c>
      <c r="F25" s="117">
        <v>934</v>
      </c>
      <c r="G25" s="118">
        <v>19.03</v>
      </c>
      <c r="H25" s="118">
        <v>9.5500000000000007</v>
      </c>
      <c r="I25" s="118">
        <f t="shared" si="4"/>
        <v>228.36</v>
      </c>
      <c r="J25" s="118">
        <f t="shared" si="4"/>
        <v>114.59999999999998</v>
      </c>
      <c r="K25" s="52">
        <f t="shared" si="1"/>
        <v>28.58</v>
      </c>
      <c r="L25" s="130">
        <f t="shared" si="5"/>
        <v>314.37999999999988</v>
      </c>
      <c r="M25" s="150"/>
      <c r="N25" s="232">
        <f t="shared" si="8"/>
        <v>28.58</v>
      </c>
      <c r="O25" s="229">
        <f t="shared" si="9"/>
        <v>304.2759999999999</v>
      </c>
      <c r="P25" s="150"/>
      <c r="Q25" s="129">
        <v>2036</v>
      </c>
      <c r="R25" s="327">
        <f t="shared" si="6"/>
        <v>28.58</v>
      </c>
    </row>
    <row r="26" spans="1:18" ht="15" customHeight="1">
      <c r="B26" s="129">
        <v>2037</v>
      </c>
      <c r="C26" s="116">
        <f t="shared" si="2"/>
        <v>2.9748415594392164E-2</v>
      </c>
      <c r="D26" s="117">
        <f t="shared" si="7"/>
        <v>52070</v>
      </c>
      <c r="E26" s="117">
        <f t="shared" si="3"/>
        <v>1549</v>
      </c>
      <c r="F26" s="117">
        <v>934</v>
      </c>
      <c r="G26" s="118">
        <v>19.03</v>
      </c>
      <c r="H26" s="118">
        <v>9.5500000000000007</v>
      </c>
      <c r="I26" s="118">
        <f t="shared" si="4"/>
        <v>247.39000000000001</v>
      </c>
      <c r="J26" s="118">
        <f t="shared" si="4"/>
        <v>124.14999999999998</v>
      </c>
      <c r="K26" s="52">
        <f t="shared" si="1"/>
        <v>28.58</v>
      </c>
      <c r="L26" s="130">
        <f t="shared" si="5"/>
        <v>342.95999999999987</v>
      </c>
      <c r="M26" s="150"/>
      <c r="N26" s="232">
        <f t="shared" si="8"/>
        <v>28.58</v>
      </c>
      <c r="O26" s="229">
        <f t="shared" si="9"/>
        <v>332.85599999999988</v>
      </c>
      <c r="P26" s="150"/>
      <c r="Q26" s="129">
        <v>2037</v>
      </c>
      <c r="R26" s="327">
        <f t="shared" si="6"/>
        <v>28.58</v>
      </c>
    </row>
    <row r="27" spans="1:18" ht="15" customHeight="1">
      <c r="B27" s="129">
        <v>2038</v>
      </c>
      <c r="C27" s="116">
        <f t="shared" si="2"/>
        <v>2.8889013222924708E-2</v>
      </c>
      <c r="D27" s="117">
        <f t="shared" si="7"/>
        <v>53619</v>
      </c>
      <c r="E27" s="117">
        <f t="shared" si="3"/>
        <v>1549</v>
      </c>
      <c r="F27" s="117">
        <v>934</v>
      </c>
      <c r="G27" s="118">
        <v>19.03</v>
      </c>
      <c r="H27" s="118">
        <v>9.5500000000000007</v>
      </c>
      <c r="I27" s="118">
        <f t="shared" si="4"/>
        <v>266.42</v>
      </c>
      <c r="J27" s="118">
        <f t="shared" si="4"/>
        <v>133.69999999999999</v>
      </c>
      <c r="K27" s="52">
        <f t="shared" si="1"/>
        <v>28.58</v>
      </c>
      <c r="L27" s="130">
        <f t="shared" si="5"/>
        <v>371.53999999999985</v>
      </c>
      <c r="M27" s="150"/>
      <c r="N27" s="232">
        <f t="shared" si="8"/>
        <v>28.58</v>
      </c>
      <c r="O27" s="229">
        <f t="shared" si="9"/>
        <v>361.43599999999986</v>
      </c>
      <c r="P27" s="150"/>
      <c r="Q27" s="129">
        <v>2038</v>
      </c>
      <c r="R27" s="327">
        <f t="shared" si="6"/>
        <v>28.58</v>
      </c>
    </row>
    <row r="28" spans="1:18" ht="15" customHeight="1">
      <c r="B28" s="129">
        <v>2039</v>
      </c>
      <c r="C28" s="116">
        <f t="shared" si="2"/>
        <v>2.8077871229698376E-2</v>
      </c>
      <c r="D28" s="117">
        <f t="shared" si="7"/>
        <v>55168</v>
      </c>
      <c r="E28" s="117">
        <f t="shared" si="3"/>
        <v>1549</v>
      </c>
      <c r="F28" s="117">
        <v>934</v>
      </c>
      <c r="G28" s="118">
        <v>19.03</v>
      </c>
      <c r="H28" s="118">
        <v>9.5500000000000007</v>
      </c>
      <c r="I28" s="118">
        <f t="shared" si="4"/>
        <v>285.45000000000005</v>
      </c>
      <c r="J28" s="118">
        <f t="shared" si="4"/>
        <v>143.25</v>
      </c>
      <c r="K28" s="52">
        <f t="shared" si="1"/>
        <v>28.58</v>
      </c>
      <c r="L28" s="130">
        <f t="shared" si="5"/>
        <v>400.11999999999983</v>
      </c>
      <c r="M28" s="150"/>
      <c r="N28" s="232">
        <f t="shared" si="8"/>
        <v>28.58</v>
      </c>
      <c r="O28" s="229">
        <f t="shared" si="9"/>
        <v>390.01599999999985</v>
      </c>
      <c r="P28" s="150"/>
      <c r="Q28" s="129">
        <v>2039</v>
      </c>
      <c r="R28" s="327">
        <f t="shared" si="6"/>
        <v>28.58</v>
      </c>
    </row>
    <row r="29" spans="1:18" ht="15" customHeight="1">
      <c r="B29" s="129">
        <v>2040</v>
      </c>
      <c r="C29" s="116">
        <f t="shared" si="2"/>
        <v>2.7311035492004161E-2</v>
      </c>
      <c r="D29" s="117">
        <f t="shared" si="7"/>
        <v>56717</v>
      </c>
      <c r="E29" s="117">
        <f t="shared" si="3"/>
        <v>1549</v>
      </c>
      <c r="F29" s="117">
        <v>934</v>
      </c>
      <c r="G29" s="118">
        <v>19.03</v>
      </c>
      <c r="H29" s="118">
        <v>9.5500000000000007</v>
      </c>
      <c r="I29" s="118">
        <f t="shared" si="4"/>
        <v>304.48</v>
      </c>
      <c r="J29" s="118">
        <f t="shared" si="4"/>
        <v>152.80000000000001</v>
      </c>
      <c r="K29" s="52">
        <f t="shared" si="1"/>
        <v>28.58</v>
      </c>
      <c r="L29" s="130">
        <f t="shared" si="5"/>
        <v>428.69999999999982</v>
      </c>
      <c r="M29" s="150"/>
      <c r="N29" s="232">
        <f t="shared" si="8"/>
        <v>28.58</v>
      </c>
      <c r="O29" s="229">
        <f t="shared" si="9"/>
        <v>418.59599999999983</v>
      </c>
      <c r="P29" s="150"/>
      <c r="Q29" s="129">
        <v>2040</v>
      </c>
      <c r="R29" s="327">
        <f t="shared" si="6"/>
        <v>28.58</v>
      </c>
    </row>
    <row r="30" spans="1:18" ht="15" customHeight="1">
      <c r="A30" s="131"/>
      <c r="B30" s="129">
        <v>2041</v>
      </c>
      <c r="C30" s="116">
        <f t="shared" si="2"/>
        <v>2.6584972368104899E-2</v>
      </c>
      <c r="D30" s="117">
        <f t="shared" si="7"/>
        <v>58266</v>
      </c>
      <c r="E30" s="117">
        <f t="shared" si="3"/>
        <v>1549</v>
      </c>
      <c r="F30" s="117">
        <v>934</v>
      </c>
      <c r="G30" s="118">
        <v>19.03</v>
      </c>
      <c r="H30" s="118">
        <v>9.5500000000000007</v>
      </c>
      <c r="I30" s="118">
        <f t="shared" ref="I30:J45" si="10">+G30+I29</f>
        <v>323.51</v>
      </c>
      <c r="J30" s="118">
        <f t="shared" si="10"/>
        <v>162.35000000000002</v>
      </c>
      <c r="K30" s="52">
        <f t="shared" si="1"/>
        <v>28.58</v>
      </c>
      <c r="L30" s="130">
        <f t="shared" si="5"/>
        <v>457.2799999999998</v>
      </c>
      <c r="M30" s="150"/>
      <c r="N30" s="232">
        <f t="shared" si="8"/>
        <v>28.58</v>
      </c>
      <c r="O30" s="229">
        <f t="shared" si="9"/>
        <v>447.17599999999982</v>
      </c>
      <c r="P30" s="150"/>
      <c r="Q30" s="129">
        <v>2041</v>
      </c>
      <c r="R30" s="327">
        <f t="shared" si="6"/>
        <v>28.58</v>
      </c>
    </row>
    <row r="31" spans="1:18" ht="15" customHeight="1">
      <c r="B31" s="129">
        <v>2042</v>
      </c>
      <c r="C31" s="116">
        <f t="shared" si="2"/>
        <v>2.5896514252277857E-2</v>
      </c>
      <c r="D31" s="117">
        <f t="shared" si="7"/>
        <v>59815</v>
      </c>
      <c r="E31" s="117">
        <f t="shared" si="3"/>
        <v>1549</v>
      </c>
      <c r="F31" s="117">
        <v>934</v>
      </c>
      <c r="G31" s="118">
        <v>19.03</v>
      </c>
      <c r="H31" s="118">
        <v>9.5500000000000007</v>
      </c>
      <c r="I31" s="118">
        <f t="shared" si="10"/>
        <v>342.53999999999996</v>
      </c>
      <c r="J31" s="118">
        <f t="shared" si="10"/>
        <v>171.90000000000003</v>
      </c>
      <c r="K31" s="52">
        <f t="shared" si="1"/>
        <v>28.58</v>
      </c>
      <c r="L31" s="130">
        <f t="shared" si="5"/>
        <v>485.85999999999979</v>
      </c>
      <c r="M31" s="150"/>
      <c r="N31" s="232">
        <f t="shared" si="8"/>
        <v>28.58</v>
      </c>
      <c r="O31" s="229">
        <f t="shared" si="9"/>
        <v>475.7559999999998</v>
      </c>
      <c r="P31" s="150"/>
      <c r="Q31" s="129">
        <v>2042</v>
      </c>
      <c r="R31" s="327">
        <f t="shared" si="6"/>
        <v>28.58</v>
      </c>
    </row>
    <row r="32" spans="1:18" ht="15" customHeight="1">
      <c r="A32" s="375" t="s">
        <v>144</v>
      </c>
      <c r="B32" s="376">
        <v>2043</v>
      </c>
      <c r="C32" s="377">
        <f t="shared" si="2"/>
        <v>2.5242813375920735E-2</v>
      </c>
      <c r="D32" s="378">
        <f t="shared" si="7"/>
        <v>61364</v>
      </c>
      <c r="E32" s="378">
        <f t="shared" si="3"/>
        <v>1549</v>
      </c>
      <c r="F32" s="378">
        <v>934</v>
      </c>
      <c r="G32" s="379">
        <v>19.03</v>
      </c>
      <c r="H32" s="379">
        <v>9.5500000000000007</v>
      </c>
      <c r="I32" s="379">
        <f t="shared" si="10"/>
        <v>361.56999999999994</v>
      </c>
      <c r="J32" s="379">
        <f t="shared" si="10"/>
        <v>181.45000000000005</v>
      </c>
      <c r="K32" s="380">
        <f t="shared" si="1"/>
        <v>28.58</v>
      </c>
      <c r="L32" s="381">
        <f t="shared" si="5"/>
        <v>514.43999999999983</v>
      </c>
      <c r="M32" s="382"/>
      <c r="N32" s="250">
        <f t="shared" si="8"/>
        <v>28.58</v>
      </c>
      <c r="O32" s="251">
        <f t="shared" si="9"/>
        <v>504.33599999999979</v>
      </c>
      <c r="P32" s="382"/>
      <c r="Q32" s="376">
        <v>2043</v>
      </c>
      <c r="R32" s="328">
        <f t="shared" si="6"/>
        <v>13.517363460297133</v>
      </c>
    </row>
    <row r="33" spans="1:20" ht="15" customHeight="1">
      <c r="B33" s="129">
        <v>2044</v>
      </c>
      <c r="C33" s="116">
        <f t="shared" si="2"/>
        <v>2.4621302433519305E-2</v>
      </c>
      <c r="D33" s="117">
        <f t="shared" si="7"/>
        <v>62913</v>
      </c>
      <c r="E33" s="117">
        <f t="shared" si="3"/>
        <v>1549</v>
      </c>
      <c r="F33" s="117">
        <v>934</v>
      </c>
      <c r="G33" s="118">
        <v>19.03</v>
      </c>
      <c r="H33" s="118">
        <v>9.5500000000000007</v>
      </c>
      <c r="I33" s="118">
        <f t="shared" si="10"/>
        <v>380.59999999999991</v>
      </c>
      <c r="J33" s="118">
        <f t="shared" si="10"/>
        <v>191.00000000000006</v>
      </c>
      <c r="K33" s="52">
        <f t="shared" si="1"/>
        <v>28.58</v>
      </c>
      <c r="L33" s="130">
        <f t="shared" si="5"/>
        <v>543.01999999999987</v>
      </c>
      <c r="M33" s="150"/>
      <c r="N33" s="232">
        <f t="shared" si="8"/>
        <v>28.58</v>
      </c>
      <c r="O33" s="229">
        <f t="shared" si="9"/>
        <v>532.91599999999983</v>
      </c>
      <c r="P33" s="150"/>
      <c r="Q33" s="129">
        <v>2044</v>
      </c>
      <c r="R33" s="327">
        <f t="shared" si="6"/>
        <v>0</v>
      </c>
    </row>
    <row r="34" spans="1:20" ht="15" customHeight="1">
      <c r="B34" s="129">
        <v>2045</v>
      </c>
      <c r="C34" s="116">
        <f t="shared" si="2"/>
        <v>2.4029660885482921E-2</v>
      </c>
      <c r="D34" s="117">
        <f t="shared" si="7"/>
        <v>64462</v>
      </c>
      <c r="E34" s="117">
        <f t="shared" si="3"/>
        <v>1549</v>
      </c>
      <c r="F34" s="117">
        <v>934</v>
      </c>
      <c r="G34" s="118">
        <v>19.03</v>
      </c>
      <c r="H34" s="118">
        <v>9.5500000000000007</v>
      </c>
      <c r="I34" s="118">
        <f t="shared" si="10"/>
        <v>399.62999999999988</v>
      </c>
      <c r="J34" s="118">
        <f t="shared" si="10"/>
        <v>200.55000000000007</v>
      </c>
      <c r="K34" s="52">
        <f t="shared" si="1"/>
        <v>28.58</v>
      </c>
      <c r="L34" s="130">
        <f t="shared" si="5"/>
        <v>571.59999999999991</v>
      </c>
      <c r="M34" s="150"/>
      <c r="N34" s="232">
        <f t="shared" si="8"/>
        <v>28.58</v>
      </c>
      <c r="O34" s="229">
        <f t="shared" si="9"/>
        <v>561.49599999999987</v>
      </c>
      <c r="P34" s="150"/>
      <c r="Q34" s="129">
        <v>2045</v>
      </c>
      <c r="R34" s="327">
        <f t="shared" si="6"/>
        <v>0</v>
      </c>
    </row>
    <row r="35" spans="1:20" ht="15" customHeight="1">
      <c r="B35" s="129">
        <v>2046</v>
      </c>
      <c r="C35" s="116">
        <f t="shared" si="2"/>
        <v>2.3465786005362744E-2</v>
      </c>
      <c r="D35" s="117">
        <f t="shared" si="7"/>
        <v>66011</v>
      </c>
      <c r="E35" s="117">
        <f t="shared" si="3"/>
        <v>1549</v>
      </c>
      <c r="F35" s="117">
        <v>934</v>
      </c>
      <c r="G35" s="118">
        <v>19.03</v>
      </c>
      <c r="H35" s="118">
        <v>9.5500000000000007</v>
      </c>
      <c r="I35" s="118">
        <f t="shared" si="10"/>
        <v>418.65999999999985</v>
      </c>
      <c r="J35" s="118">
        <f t="shared" si="10"/>
        <v>210.10000000000008</v>
      </c>
      <c r="K35" s="52">
        <f t="shared" si="1"/>
        <v>28.58</v>
      </c>
      <c r="L35" s="130">
        <f t="shared" si="5"/>
        <v>600.17999999999995</v>
      </c>
      <c r="M35" s="150"/>
      <c r="N35" s="232">
        <f t="shared" si="8"/>
        <v>28.58</v>
      </c>
      <c r="O35" s="229">
        <f t="shared" si="9"/>
        <v>590.07599999999991</v>
      </c>
      <c r="P35" s="150"/>
      <c r="Q35" s="129">
        <v>2046</v>
      </c>
      <c r="R35" s="327">
        <f t="shared" si="6"/>
        <v>0</v>
      </c>
    </row>
    <row r="36" spans="1:20" ht="15" customHeight="1">
      <c r="A36" s="55"/>
      <c r="B36" s="129">
        <v>2047</v>
      </c>
      <c r="C36" s="116">
        <f t="shared" si="2"/>
        <v>2.292776791000592E-2</v>
      </c>
      <c r="D36" s="117">
        <f t="shared" si="7"/>
        <v>67560</v>
      </c>
      <c r="E36" s="117">
        <f t="shared" si="3"/>
        <v>1549</v>
      </c>
      <c r="F36" s="117">
        <v>934</v>
      </c>
      <c r="G36" s="118">
        <v>19.03</v>
      </c>
      <c r="H36" s="118">
        <v>9.5500000000000007</v>
      </c>
      <c r="I36" s="118">
        <f t="shared" si="10"/>
        <v>437.68999999999983</v>
      </c>
      <c r="J36" s="118">
        <f t="shared" si="10"/>
        <v>219.65000000000009</v>
      </c>
      <c r="K36" s="52">
        <f t="shared" si="1"/>
        <v>28.58</v>
      </c>
      <c r="L36" s="130">
        <f t="shared" si="5"/>
        <v>628.76</v>
      </c>
      <c r="M36" s="150"/>
      <c r="N36" s="232">
        <f t="shared" si="8"/>
        <v>28.58</v>
      </c>
      <c r="O36" s="229">
        <f t="shared" si="9"/>
        <v>618.65599999999995</v>
      </c>
      <c r="P36" s="150"/>
      <c r="Q36" s="129">
        <v>2047</v>
      </c>
      <c r="R36" s="327">
        <f t="shared" si="6"/>
        <v>0</v>
      </c>
    </row>
    <row r="37" spans="1:20" ht="15" customHeight="1">
      <c r="B37" s="129">
        <v>2048</v>
      </c>
      <c r="C37" s="116">
        <f t="shared" si="2"/>
        <v>2.2413867947734738E-2</v>
      </c>
      <c r="D37" s="117">
        <f t="shared" si="7"/>
        <v>69109</v>
      </c>
      <c r="E37" s="117">
        <f t="shared" si="3"/>
        <v>1549</v>
      </c>
      <c r="F37" s="117">
        <v>934</v>
      </c>
      <c r="G37" s="118">
        <v>19.03</v>
      </c>
      <c r="H37" s="118">
        <v>9.5500000000000007</v>
      </c>
      <c r="I37" s="118">
        <f t="shared" si="10"/>
        <v>456.7199999999998</v>
      </c>
      <c r="J37" s="118">
        <f t="shared" si="10"/>
        <v>229.2000000000001</v>
      </c>
      <c r="K37" s="52">
        <f t="shared" si="1"/>
        <v>28.58</v>
      </c>
      <c r="L37" s="130">
        <f t="shared" si="5"/>
        <v>657.34</v>
      </c>
      <c r="M37" s="150"/>
      <c r="N37" s="232">
        <f t="shared" si="8"/>
        <v>28.58</v>
      </c>
      <c r="O37" s="229">
        <f t="shared" si="9"/>
        <v>647.23599999999999</v>
      </c>
      <c r="P37" s="150"/>
      <c r="Q37" s="129">
        <v>2048</v>
      </c>
      <c r="R37" s="327">
        <f t="shared" si="6"/>
        <v>0</v>
      </c>
    </row>
    <row r="38" spans="1:20" ht="15" customHeight="1">
      <c r="B38" s="129">
        <v>2049</v>
      </c>
      <c r="C38" s="116">
        <f t="shared" si="2"/>
        <v>2.1922499929236606E-2</v>
      </c>
      <c r="D38" s="117">
        <f t="shared" si="7"/>
        <v>70658</v>
      </c>
      <c r="E38" s="117">
        <f t="shared" si="3"/>
        <v>1549</v>
      </c>
      <c r="F38" s="117">
        <v>934</v>
      </c>
      <c r="G38" s="118">
        <v>19.03</v>
      </c>
      <c r="H38" s="118">
        <v>9.5500000000000007</v>
      </c>
      <c r="I38" s="118">
        <f t="shared" si="10"/>
        <v>475.74999999999977</v>
      </c>
      <c r="J38" s="118">
        <f t="shared" si="10"/>
        <v>238.75000000000011</v>
      </c>
      <c r="K38" s="52">
        <f t="shared" si="1"/>
        <v>28.58</v>
      </c>
      <c r="L38" s="130">
        <f t="shared" si="5"/>
        <v>685.92000000000007</v>
      </c>
      <c r="M38" s="150"/>
      <c r="N38" s="232">
        <f t="shared" si="8"/>
        <v>28.58</v>
      </c>
      <c r="O38" s="229">
        <f t="shared" si="9"/>
        <v>675.81600000000003</v>
      </c>
      <c r="P38" s="150"/>
      <c r="Q38" s="129">
        <v>2049</v>
      </c>
      <c r="R38" s="327">
        <f t="shared" si="6"/>
        <v>0</v>
      </c>
    </row>
    <row r="39" spans="1:20" ht="15" customHeight="1">
      <c r="B39" s="129">
        <v>2050</v>
      </c>
      <c r="C39" s="116">
        <f t="shared" si="2"/>
        <v>2.1452213774287812E-2</v>
      </c>
      <c r="D39" s="117">
        <f t="shared" si="7"/>
        <v>72207</v>
      </c>
      <c r="E39" s="117">
        <f t="shared" si="3"/>
        <v>1549</v>
      </c>
      <c r="F39" s="117">
        <v>934</v>
      </c>
      <c r="G39" s="118">
        <v>19.03</v>
      </c>
      <c r="H39" s="118">
        <v>9.5500000000000007</v>
      </c>
      <c r="I39" s="118">
        <f t="shared" si="10"/>
        <v>494.77999999999975</v>
      </c>
      <c r="J39" s="118">
        <f t="shared" si="10"/>
        <v>248.30000000000013</v>
      </c>
      <c r="K39" s="52">
        <f t="shared" si="1"/>
        <v>28.58</v>
      </c>
      <c r="L39" s="130">
        <f t="shared" si="5"/>
        <v>714.50000000000011</v>
      </c>
      <c r="M39" s="150"/>
      <c r="N39" s="232">
        <f t="shared" si="8"/>
        <v>28.58</v>
      </c>
      <c r="O39" s="229">
        <f t="shared" si="9"/>
        <v>704.39600000000007</v>
      </c>
      <c r="P39" s="150"/>
      <c r="Q39" s="129">
        <v>2050</v>
      </c>
      <c r="R39" s="327">
        <f t="shared" si="6"/>
        <v>0</v>
      </c>
    </row>
    <row r="40" spans="1:20" ht="15" customHeight="1">
      <c r="A40" s="373"/>
      <c r="B40" s="129">
        <v>2051</v>
      </c>
      <c r="C40" s="116">
        <f t="shared" si="2"/>
        <v>2.1001681219155053E-2</v>
      </c>
      <c r="D40" s="117">
        <f t="shared" si="7"/>
        <v>73756</v>
      </c>
      <c r="E40" s="117">
        <f t="shared" si="3"/>
        <v>1549</v>
      </c>
      <c r="F40" s="117">
        <v>934</v>
      </c>
      <c r="G40" s="118">
        <v>19.03</v>
      </c>
      <c r="H40" s="118">
        <v>9.5500000000000007</v>
      </c>
      <c r="I40" s="118">
        <f t="shared" si="10"/>
        <v>513.80999999999972</v>
      </c>
      <c r="J40" s="118">
        <f t="shared" si="10"/>
        <v>257.85000000000014</v>
      </c>
      <c r="K40" s="52">
        <f t="shared" si="1"/>
        <v>28.58</v>
      </c>
      <c r="L40" s="130">
        <f t="shared" si="5"/>
        <v>743.08000000000015</v>
      </c>
      <c r="M40" s="150"/>
      <c r="N40" s="232">
        <f t="shared" si="8"/>
        <v>28.58</v>
      </c>
      <c r="O40" s="229">
        <f t="shared" si="9"/>
        <v>732.97600000000011</v>
      </c>
      <c r="P40" s="150"/>
      <c r="Q40" s="374">
        <v>2051</v>
      </c>
      <c r="R40" s="327">
        <f t="shared" si="6"/>
        <v>0</v>
      </c>
    </row>
    <row r="41" spans="1:20" ht="15" customHeight="1">
      <c r="B41" s="129">
        <v>2052</v>
      </c>
      <c r="C41" s="116">
        <f t="shared" si="2"/>
        <v>2.0569683287962288E-2</v>
      </c>
      <c r="D41" s="117">
        <f t="shared" si="7"/>
        <v>75305</v>
      </c>
      <c r="E41" s="117">
        <f t="shared" si="3"/>
        <v>1549</v>
      </c>
      <c r="F41" s="117">
        <v>934</v>
      </c>
      <c r="G41" s="118">
        <v>19.03</v>
      </c>
      <c r="H41" s="118">
        <v>9.5500000000000007</v>
      </c>
      <c r="I41" s="118">
        <f t="shared" si="10"/>
        <v>532.83999999999969</v>
      </c>
      <c r="J41" s="118">
        <f t="shared" si="10"/>
        <v>267.40000000000015</v>
      </c>
      <c r="K41" s="52">
        <f t="shared" si="1"/>
        <v>28.58</v>
      </c>
      <c r="L41" s="130">
        <f t="shared" si="5"/>
        <v>771.6600000000002</v>
      </c>
      <c r="M41" s="150"/>
      <c r="N41" s="232">
        <f t="shared" si="8"/>
        <v>28.58</v>
      </c>
      <c r="O41" s="229">
        <f t="shared" si="9"/>
        <v>761.55600000000015</v>
      </c>
      <c r="P41" s="150"/>
      <c r="Q41" s="129">
        <v>2052</v>
      </c>
      <c r="R41" s="327">
        <f t="shared" si="6"/>
        <v>0</v>
      </c>
    </row>
    <row r="42" spans="1:20" s="51" customFormat="1" ht="15" customHeight="1">
      <c r="A42" s="13"/>
      <c r="B42" s="129">
        <v>2053</v>
      </c>
      <c r="C42" s="116">
        <f t="shared" si="2"/>
        <v>2.0155099279152679E-2</v>
      </c>
      <c r="D42" s="117">
        <f t="shared" si="7"/>
        <v>76854</v>
      </c>
      <c r="E42" s="117">
        <f t="shared" si="3"/>
        <v>1549</v>
      </c>
      <c r="F42" s="117">
        <v>934</v>
      </c>
      <c r="G42" s="118">
        <v>19.03</v>
      </c>
      <c r="H42" s="118">
        <v>9.5500000000000007</v>
      </c>
      <c r="I42" s="118">
        <f t="shared" si="10"/>
        <v>551.86999999999966</v>
      </c>
      <c r="J42" s="118">
        <f t="shared" si="10"/>
        <v>276.95000000000016</v>
      </c>
      <c r="K42" s="52">
        <f t="shared" si="1"/>
        <v>28.58</v>
      </c>
      <c r="L42" s="130">
        <f t="shared" si="5"/>
        <v>800.24000000000024</v>
      </c>
      <c r="M42" s="150"/>
      <c r="N42" s="232">
        <f t="shared" si="8"/>
        <v>28.58</v>
      </c>
      <c r="O42" s="229">
        <f t="shared" si="9"/>
        <v>790.13600000000019</v>
      </c>
      <c r="P42" s="150"/>
      <c r="Q42" s="129">
        <v>2053</v>
      </c>
      <c r="R42" s="327">
        <f t="shared" si="6"/>
        <v>0</v>
      </c>
      <c r="S42" s="13"/>
      <c r="T42" s="13"/>
    </row>
    <row r="43" spans="1:20" s="51" customFormat="1" ht="15" customHeight="1">
      <c r="A43" s="13"/>
      <c r="B43" s="129">
        <v>2054</v>
      </c>
      <c r="C43" s="116">
        <f t="shared" si="2"/>
        <v>1.9756897057510554E-2</v>
      </c>
      <c r="D43" s="117">
        <f t="shared" si="7"/>
        <v>78403</v>
      </c>
      <c r="E43" s="117">
        <f t="shared" si="3"/>
        <v>1549</v>
      </c>
      <c r="F43" s="117">
        <v>934</v>
      </c>
      <c r="G43" s="118">
        <v>19.03</v>
      </c>
      <c r="H43" s="118">
        <v>9.5500000000000007</v>
      </c>
      <c r="I43" s="118">
        <f t="shared" si="10"/>
        <v>570.89999999999964</v>
      </c>
      <c r="J43" s="118">
        <f t="shared" si="10"/>
        <v>286.50000000000017</v>
      </c>
      <c r="K43" s="52">
        <f t="shared" si="1"/>
        <v>28.58</v>
      </c>
      <c r="L43" s="130">
        <f t="shared" si="5"/>
        <v>828.82000000000028</v>
      </c>
      <c r="M43" s="150"/>
      <c r="N43" s="232">
        <f t="shared" si="8"/>
        <v>28.58</v>
      </c>
      <c r="O43" s="229">
        <f t="shared" si="9"/>
        <v>818.71600000000024</v>
      </c>
      <c r="P43" s="150"/>
      <c r="Q43" s="129">
        <v>2054</v>
      </c>
      <c r="R43" s="327">
        <f t="shared" si="6"/>
        <v>0</v>
      </c>
      <c r="S43" s="13"/>
      <c r="T43" s="13"/>
    </row>
    <row r="44" spans="1:20" s="51" customFormat="1" ht="15" customHeight="1">
      <c r="A44" s="13"/>
      <c r="B44" s="129">
        <v>2055</v>
      </c>
      <c r="C44" s="116">
        <f t="shared" si="2"/>
        <v>1.9374124474684812E-2</v>
      </c>
      <c r="D44" s="117">
        <f t="shared" si="7"/>
        <v>79952</v>
      </c>
      <c r="E44" s="117">
        <f t="shared" si="3"/>
        <v>1549</v>
      </c>
      <c r="F44" s="117">
        <v>934</v>
      </c>
      <c r="G44" s="118">
        <v>19.03</v>
      </c>
      <c r="H44" s="118">
        <v>9.5500000000000007</v>
      </c>
      <c r="I44" s="118">
        <f t="shared" si="10"/>
        <v>589.92999999999961</v>
      </c>
      <c r="J44" s="118">
        <f t="shared" si="10"/>
        <v>296.05000000000018</v>
      </c>
      <c r="K44" s="52">
        <f t="shared" si="1"/>
        <v>28.58</v>
      </c>
      <c r="L44" s="130">
        <f t="shared" si="5"/>
        <v>857.40000000000032</v>
      </c>
      <c r="M44" s="150"/>
      <c r="N44" s="232">
        <f t="shared" si="8"/>
        <v>28.58</v>
      </c>
      <c r="O44" s="229">
        <f t="shared" si="9"/>
        <v>847.29600000000028</v>
      </c>
      <c r="P44" s="150"/>
      <c r="Q44" s="129">
        <v>2055</v>
      </c>
      <c r="R44" s="327">
        <f t="shared" si="6"/>
        <v>0</v>
      </c>
      <c r="S44" s="13"/>
      <c r="T44" s="13"/>
    </row>
    <row r="45" spans="1:20" s="51" customFormat="1" ht="15" customHeight="1">
      <c r="A45" s="13"/>
      <c r="B45" s="129">
        <v>2056</v>
      </c>
      <c r="C45" s="116">
        <f t="shared" si="2"/>
        <v>1.9005901768076466E-2</v>
      </c>
      <c r="D45" s="117">
        <f t="shared" si="7"/>
        <v>81501</v>
      </c>
      <c r="E45" s="117">
        <f t="shared" si="3"/>
        <v>1549</v>
      </c>
      <c r="F45" s="117">
        <v>934</v>
      </c>
      <c r="G45" s="118">
        <v>19.03</v>
      </c>
      <c r="H45" s="118">
        <v>9.5500000000000007</v>
      </c>
      <c r="I45" s="118">
        <f t="shared" si="10"/>
        <v>608.95999999999958</v>
      </c>
      <c r="J45" s="118">
        <f t="shared" si="10"/>
        <v>305.60000000000019</v>
      </c>
      <c r="K45" s="52">
        <f t="shared" si="1"/>
        <v>28.58</v>
      </c>
      <c r="L45" s="130">
        <f t="shared" si="5"/>
        <v>885.98000000000036</v>
      </c>
      <c r="M45" s="150"/>
      <c r="N45" s="232">
        <f t="shared" si="8"/>
        <v>28.58</v>
      </c>
      <c r="O45" s="229">
        <f t="shared" si="9"/>
        <v>875.87600000000032</v>
      </c>
      <c r="P45" s="150"/>
      <c r="Q45" s="129">
        <v>2056</v>
      </c>
      <c r="R45" s="327">
        <f t="shared" si="6"/>
        <v>0</v>
      </c>
      <c r="S45" s="13"/>
      <c r="T45" s="13"/>
    </row>
    <row r="46" spans="1:20" s="51" customFormat="1" ht="15" customHeight="1">
      <c r="A46" s="13"/>
      <c r="B46" s="129">
        <v>2057</v>
      </c>
      <c r="C46" s="116">
        <f t="shared" si="2"/>
        <v>1.8651414810355208E-2</v>
      </c>
      <c r="D46" s="117">
        <f t="shared" si="7"/>
        <v>83050</v>
      </c>
      <c r="E46" s="117">
        <f t="shared" si="3"/>
        <v>1549</v>
      </c>
      <c r="F46" s="117">
        <v>934</v>
      </c>
      <c r="G46" s="118">
        <v>19.03</v>
      </c>
      <c r="H46" s="118">
        <v>9.5500000000000007</v>
      </c>
      <c r="I46" s="118">
        <f t="shared" ref="I46:J61" si="11">+G46+I45</f>
        <v>627.98999999999955</v>
      </c>
      <c r="J46" s="118">
        <f t="shared" si="11"/>
        <v>315.1500000000002</v>
      </c>
      <c r="K46" s="52">
        <f t="shared" si="1"/>
        <v>28.58</v>
      </c>
      <c r="L46" s="130">
        <f t="shared" si="5"/>
        <v>914.5600000000004</v>
      </c>
      <c r="M46" s="150"/>
      <c r="N46" s="232">
        <f t="shared" si="8"/>
        <v>28.58</v>
      </c>
      <c r="O46" s="229">
        <f t="shared" si="9"/>
        <v>904.45600000000036</v>
      </c>
      <c r="P46" s="150"/>
      <c r="Q46" s="129">
        <v>2057</v>
      </c>
      <c r="R46" s="327">
        <f t="shared" si="6"/>
        <v>0</v>
      </c>
      <c r="S46" s="13"/>
      <c r="T46" s="13"/>
    </row>
    <row r="47" spans="1:20" s="51" customFormat="1" ht="15" customHeight="1">
      <c r="A47" s="13"/>
      <c r="B47" s="129">
        <v>2058</v>
      </c>
      <c r="C47" s="116">
        <f t="shared" si="2"/>
        <v>1.8309909100580384E-2</v>
      </c>
      <c r="D47" s="117">
        <f t="shared" si="7"/>
        <v>84599</v>
      </c>
      <c r="E47" s="117">
        <f t="shared" si="3"/>
        <v>1549</v>
      </c>
      <c r="F47" s="117">
        <v>934</v>
      </c>
      <c r="G47" s="118">
        <v>19.03</v>
      </c>
      <c r="H47" s="118">
        <v>9.5500000000000007</v>
      </c>
      <c r="I47" s="118">
        <f t="shared" si="11"/>
        <v>647.01999999999953</v>
      </c>
      <c r="J47" s="118">
        <f t="shared" si="11"/>
        <v>324.70000000000022</v>
      </c>
      <c r="K47" s="52">
        <f t="shared" si="1"/>
        <v>28.58</v>
      </c>
      <c r="L47" s="130">
        <f t="shared" si="5"/>
        <v>943.14000000000044</v>
      </c>
      <c r="M47" s="150"/>
      <c r="N47" s="232">
        <f t="shared" si="8"/>
        <v>28.58</v>
      </c>
      <c r="O47" s="229">
        <f t="shared" si="9"/>
        <v>933.0360000000004</v>
      </c>
      <c r="P47" s="150"/>
      <c r="Q47" s="129">
        <v>2058</v>
      </c>
      <c r="R47" s="327">
        <f t="shared" si="6"/>
        <v>0</v>
      </c>
      <c r="S47" s="13"/>
      <c r="T47" s="13"/>
    </row>
    <row r="48" spans="1:20" s="51" customFormat="1" ht="15" customHeight="1">
      <c r="A48" s="13"/>
      <c r="B48" s="129">
        <v>2059</v>
      </c>
      <c r="C48" s="116">
        <f t="shared" si="2"/>
        <v>1.7980684403584531E-2</v>
      </c>
      <c r="D48" s="117">
        <f t="shared" si="7"/>
        <v>86148</v>
      </c>
      <c r="E48" s="117">
        <f t="shared" si="3"/>
        <v>1549</v>
      </c>
      <c r="F48" s="117">
        <v>934</v>
      </c>
      <c r="G48" s="118">
        <v>19.03</v>
      </c>
      <c r="H48" s="118">
        <v>9.5500000000000007</v>
      </c>
      <c r="I48" s="118">
        <f t="shared" si="11"/>
        <v>666.0499999999995</v>
      </c>
      <c r="J48" s="118">
        <f t="shared" si="11"/>
        <v>334.25000000000023</v>
      </c>
      <c r="K48" s="52">
        <f t="shared" si="1"/>
        <v>28.58</v>
      </c>
      <c r="L48" s="130">
        <f t="shared" si="5"/>
        <v>971.72000000000048</v>
      </c>
      <c r="M48" s="150"/>
      <c r="N48" s="232">
        <f t="shared" si="8"/>
        <v>28.58</v>
      </c>
      <c r="O48" s="229">
        <f t="shared" si="9"/>
        <v>961.61600000000044</v>
      </c>
      <c r="P48" s="150"/>
      <c r="Q48" s="129">
        <v>2059</v>
      </c>
      <c r="R48" s="327">
        <f t="shared" si="6"/>
        <v>0</v>
      </c>
      <c r="S48" s="13"/>
      <c r="T48" s="13"/>
    </row>
    <row r="49" spans="1:20" s="51" customFormat="1" ht="15" customHeight="1">
      <c r="A49" s="13"/>
      <c r="B49" s="129">
        <v>2060</v>
      </c>
      <c r="C49" s="116">
        <f t="shared" si="2"/>
        <v>1.7663089957467189E-2</v>
      </c>
      <c r="D49" s="117">
        <f t="shared" si="7"/>
        <v>87697</v>
      </c>
      <c r="E49" s="117">
        <f t="shared" si="3"/>
        <v>1549</v>
      </c>
      <c r="F49" s="117">
        <v>934</v>
      </c>
      <c r="G49" s="118">
        <v>19.03</v>
      </c>
      <c r="H49" s="118">
        <v>9.5500000000000007</v>
      </c>
      <c r="I49" s="118">
        <f t="shared" si="11"/>
        <v>685.07999999999947</v>
      </c>
      <c r="J49" s="118">
        <f t="shared" si="11"/>
        <v>343.80000000000024</v>
      </c>
      <c r="K49" s="52">
        <f t="shared" si="1"/>
        <v>28.58</v>
      </c>
      <c r="L49" s="130">
        <f t="shared" si="5"/>
        <v>1000.3000000000005</v>
      </c>
      <c r="M49" s="150"/>
      <c r="N49" s="232">
        <f t="shared" si="8"/>
        <v>28.58</v>
      </c>
      <c r="O49" s="229">
        <f t="shared" si="9"/>
        <v>990.19600000000048</v>
      </c>
      <c r="P49" s="150"/>
      <c r="Q49" s="129">
        <v>2060</v>
      </c>
      <c r="R49" s="327">
        <f t="shared" si="6"/>
        <v>0</v>
      </c>
      <c r="S49" s="13"/>
      <c r="T49" s="13"/>
    </row>
    <row r="50" spans="1:20" s="51" customFormat="1" ht="15" customHeight="1">
      <c r="A50" s="13"/>
      <c r="B50" s="129">
        <v>2061</v>
      </c>
      <c r="C50" s="116">
        <f t="shared" si="2"/>
        <v>1.7356520180176142E-2</v>
      </c>
      <c r="D50" s="117">
        <f t="shared" si="7"/>
        <v>89246</v>
      </c>
      <c r="E50" s="117">
        <f t="shared" si="3"/>
        <v>1549</v>
      </c>
      <c r="F50" s="117">
        <v>934</v>
      </c>
      <c r="G50" s="118">
        <v>19.03</v>
      </c>
      <c r="H50" s="118">
        <v>9.5500000000000007</v>
      </c>
      <c r="I50" s="118">
        <f t="shared" si="11"/>
        <v>704.10999999999945</v>
      </c>
      <c r="J50" s="118">
        <f t="shared" si="11"/>
        <v>353.35000000000025</v>
      </c>
      <c r="K50" s="52">
        <f t="shared" si="1"/>
        <v>28.58</v>
      </c>
      <c r="L50" s="130">
        <f t="shared" si="5"/>
        <v>1028.8800000000006</v>
      </c>
      <c r="M50" s="150"/>
      <c r="N50" s="232">
        <f t="shared" si="8"/>
        <v>28.58</v>
      </c>
      <c r="O50" s="229">
        <f t="shared" si="9"/>
        <v>1018.7760000000005</v>
      </c>
      <c r="P50" s="150"/>
      <c r="Q50" s="129">
        <v>2061</v>
      </c>
      <c r="R50" s="327">
        <f t="shared" si="6"/>
        <v>0</v>
      </c>
      <c r="S50" s="13"/>
      <c r="T50" s="13"/>
    </row>
    <row r="51" spans="1:20" s="51" customFormat="1" ht="15" customHeight="1">
      <c r="A51" s="13"/>
      <c r="B51" s="129">
        <v>2062</v>
      </c>
      <c r="C51" s="116">
        <f t="shared" si="2"/>
        <v>1.7060410815573544E-2</v>
      </c>
      <c r="D51" s="117">
        <f t="shared" si="7"/>
        <v>90795</v>
      </c>
      <c r="E51" s="117">
        <f t="shared" si="3"/>
        <v>1549</v>
      </c>
      <c r="F51" s="117">
        <v>934</v>
      </c>
      <c r="G51" s="118">
        <v>19.03</v>
      </c>
      <c r="H51" s="118">
        <v>9.5500000000000007</v>
      </c>
      <c r="I51" s="118">
        <f t="shared" si="11"/>
        <v>723.13999999999942</v>
      </c>
      <c r="J51" s="118">
        <f t="shared" si="11"/>
        <v>362.90000000000026</v>
      </c>
      <c r="K51" s="52">
        <f t="shared" si="1"/>
        <v>28.58</v>
      </c>
      <c r="L51" s="130">
        <f t="shared" si="5"/>
        <v>1057.4600000000005</v>
      </c>
      <c r="M51" s="150"/>
      <c r="N51" s="232">
        <f t="shared" si="8"/>
        <v>28.58</v>
      </c>
      <c r="O51" s="229">
        <f t="shared" si="9"/>
        <v>1047.3560000000004</v>
      </c>
      <c r="P51" s="150"/>
      <c r="Q51" s="129">
        <v>2062</v>
      </c>
      <c r="R51" s="327">
        <f t="shared" si="6"/>
        <v>0</v>
      </c>
      <c r="S51" s="13"/>
      <c r="T51" s="13"/>
    </row>
    <row r="52" spans="1:20" s="51" customFormat="1" ht="15" customHeight="1">
      <c r="A52" s="13"/>
      <c r="B52" s="129">
        <v>2063</v>
      </c>
      <c r="C52" s="116">
        <f t="shared" si="2"/>
        <v>1.6774235467382829E-2</v>
      </c>
      <c r="D52" s="117">
        <f t="shared" si="7"/>
        <v>92344</v>
      </c>
      <c r="E52" s="117">
        <f t="shared" si="3"/>
        <v>1549</v>
      </c>
      <c r="F52" s="117">
        <v>934</v>
      </c>
      <c r="G52" s="118">
        <v>19.03</v>
      </c>
      <c r="H52" s="118">
        <v>9.5500000000000007</v>
      </c>
      <c r="I52" s="118">
        <f t="shared" si="11"/>
        <v>742.16999999999939</v>
      </c>
      <c r="J52" s="118">
        <f t="shared" si="11"/>
        <v>372.45000000000027</v>
      </c>
      <c r="K52" s="52">
        <f t="shared" si="1"/>
        <v>28.58</v>
      </c>
      <c r="L52" s="130">
        <f t="shared" si="5"/>
        <v>1086.0400000000004</v>
      </c>
      <c r="M52" s="150"/>
      <c r="N52" s="232">
        <f t="shared" si="8"/>
        <v>28.58</v>
      </c>
      <c r="O52" s="229">
        <f t="shared" si="9"/>
        <v>1075.9360000000004</v>
      </c>
      <c r="P52" s="150"/>
      <c r="Q52" s="129">
        <v>2063</v>
      </c>
      <c r="R52" s="327">
        <f t="shared" si="6"/>
        <v>0</v>
      </c>
      <c r="S52" s="13"/>
      <c r="T52" s="13"/>
    </row>
    <row r="53" spans="1:20" s="51" customFormat="1" ht="15" customHeight="1">
      <c r="A53" s="13"/>
      <c r="B53" s="129">
        <v>2064</v>
      </c>
      <c r="C53" s="116">
        <f t="shared" si="2"/>
        <v>1.6497502476222933E-2</v>
      </c>
      <c r="D53" s="117">
        <f t="shared" si="7"/>
        <v>93893</v>
      </c>
      <c r="E53" s="117">
        <f t="shared" si="3"/>
        <v>1549</v>
      </c>
      <c r="F53" s="117">
        <v>934</v>
      </c>
      <c r="G53" s="118">
        <v>19.03</v>
      </c>
      <c r="H53" s="118">
        <v>9.5500000000000007</v>
      </c>
      <c r="I53" s="118">
        <f t="shared" si="11"/>
        <v>761.19999999999936</v>
      </c>
      <c r="J53" s="118">
        <f t="shared" si="11"/>
        <v>382.00000000000028</v>
      </c>
      <c r="K53" s="52">
        <f t="shared" si="1"/>
        <v>28.58</v>
      </c>
      <c r="L53" s="130">
        <f t="shared" si="5"/>
        <v>1114.6200000000003</v>
      </c>
      <c r="M53" s="150"/>
      <c r="N53" s="232">
        <f t="shared" si="8"/>
        <v>28.58</v>
      </c>
      <c r="O53" s="229">
        <f t="shared" si="9"/>
        <v>1104.5160000000003</v>
      </c>
      <c r="P53" s="150"/>
      <c r="Q53" s="129">
        <v>2064</v>
      </c>
      <c r="R53" s="327">
        <f t="shared" si="6"/>
        <v>0</v>
      </c>
      <c r="S53" s="13"/>
      <c r="T53" s="13"/>
    </row>
    <row r="54" spans="1:20" s="51" customFormat="1" ht="15" customHeight="1">
      <c r="A54" s="13"/>
      <c r="B54" s="129">
        <v>2065</v>
      </c>
      <c r="C54" s="116">
        <f t="shared" si="2"/>
        <v>1.6229752100752289E-2</v>
      </c>
      <c r="D54" s="117">
        <f t="shared" si="7"/>
        <v>95442</v>
      </c>
      <c r="E54" s="117">
        <f t="shared" si="3"/>
        <v>1549</v>
      </c>
      <c r="F54" s="117">
        <v>934</v>
      </c>
      <c r="G54" s="118">
        <v>19.03</v>
      </c>
      <c r="H54" s="118">
        <v>9.5500000000000007</v>
      </c>
      <c r="I54" s="118">
        <f t="shared" si="11"/>
        <v>780.22999999999934</v>
      </c>
      <c r="J54" s="118">
        <f t="shared" si="11"/>
        <v>391.5500000000003</v>
      </c>
      <c r="K54" s="52">
        <f t="shared" si="1"/>
        <v>28.58</v>
      </c>
      <c r="L54" s="130">
        <f t="shared" si="5"/>
        <v>1143.2000000000003</v>
      </c>
      <c r="M54" s="150"/>
      <c r="N54" s="232">
        <f t="shared" si="8"/>
        <v>28.58</v>
      </c>
      <c r="O54" s="229">
        <f t="shared" si="9"/>
        <v>1133.0960000000002</v>
      </c>
      <c r="P54" s="150"/>
      <c r="Q54" s="129">
        <v>2065</v>
      </c>
      <c r="R54" s="327">
        <f t="shared" si="6"/>
        <v>0</v>
      </c>
      <c r="S54" s="13"/>
      <c r="T54" s="13"/>
    </row>
    <row r="55" spans="1:20" s="51" customFormat="1" ht="15" customHeight="1">
      <c r="A55" s="13"/>
      <c r="B55" s="129">
        <v>2066</v>
      </c>
      <c r="C55" s="116">
        <f t="shared" si="2"/>
        <v>1.5970553968924953E-2</v>
      </c>
      <c r="D55" s="117">
        <f t="shared" si="7"/>
        <v>96991</v>
      </c>
      <c r="E55" s="117">
        <f t="shared" si="3"/>
        <v>1549</v>
      </c>
      <c r="F55" s="117">
        <v>934</v>
      </c>
      <c r="G55" s="118">
        <v>19.03</v>
      </c>
      <c r="H55" s="118">
        <v>9.5500000000000007</v>
      </c>
      <c r="I55" s="118">
        <f t="shared" si="11"/>
        <v>799.25999999999931</v>
      </c>
      <c r="J55" s="118">
        <f t="shared" si="11"/>
        <v>401.10000000000031</v>
      </c>
      <c r="K55" s="52">
        <f t="shared" si="1"/>
        <v>28.58</v>
      </c>
      <c r="L55" s="130">
        <f t="shared" si="5"/>
        <v>1171.7800000000002</v>
      </c>
      <c r="M55" s="150"/>
      <c r="N55" s="232">
        <f t="shared" si="8"/>
        <v>28.58</v>
      </c>
      <c r="O55" s="229">
        <f t="shared" si="9"/>
        <v>1161.6760000000002</v>
      </c>
      <c r="P55" s="150"/>
      <c r="Q55" s="129">
        <v>2066</v>
      </c>
      <c r="R55" s="327">
        <f t="shared" si="6"/>
        <v>0</v>
      </c>
      <c r="S55" s="13"/>
      <c r="T55" s="13"/>
    </row>
    <row r="56" spans="1:20" s="51" customFormat="1" ht="15" customHeight="1">
      <c r="A56" s="13"/>
      <c r="B56" s="129">
        <v>2067</v>
      </c>
      <c r="C56" s="116">
        <f t="shared" si="2"/>
        <v>1.5719504769636697E-2</v>
      </c>
      <c r="D56" s="117">
        <f t="shared" si="7"/>
        <v>98540</v>
      </c>
      <c r="E56" s="117">
        <f t="shared" si="3"/>
        <v>1549</v>
      </c>
      <c r="F56" s="117">
        <v>934</v>
      </c>
      <c r="G56" s="118">
        <v>19.03</v>
      </c>
      <c r="H56" s="118">
        <v>9.5500000000000007</v>
      </c>
      <c r="I56" s="118">
        <f t="shared" si="11"/>
        <v>818.28999999999928</v>
      </c>
      <c r="J56" s="118">
        <f t="shared" si="11"/>
        <v>410.65000000000032</v>
      </c>
      <c r="K56" s="52">
        <f t="shared" si="1"/>
        <v>28.58</v>
      </c>
      <c r="L56" s="130">
        <f t="shared" si="5"/>
        <v>1200.3600000000001</v>
      </c>
      <c r="M56" s="150"/>
      <c r="N56" s="232">
        <f t="shared" si="8"/>
        <v>28.58</v>
      </c>
      <c r="O56" s="229">
        <f t="shared" si="9"/>
        <v>1190.2560000000001</v>
      </c>
      <c r="P56" s="150"/>
      <c r="Q56" s="129">
        <v>2067</v>
      </c>
      <c r="R56" s="327">
        <f t="shared" si="6"/>
        <v>0</v>
      </c>
      <c r="S56" s="13"/>
      <c r="T56" s="13"/>
    </row>
    <row r="57" spans="1:20" s="51" customFormat="1" ht="15" customHeight="1">
      <c r="A57" s="13"/>
      <c r="B57" s="129">
        <v>2068</v>
      </c>
      <c r="C57" s="116">
        <f t="shared" si="2"/>
        <v>1.547622615871874E-2</v>
      </c>
      <c r="D57" s="117">
        <f t="shared" si="7"/>
        <v>100089</v>
      </c>
      <c r="E57" s="117">
        <f t="shared" si="3"/>
        <v>1549</v>
      </c>
      <c r="F57" s="117">
        <v>934</v>
      </c>
      <c r="G57" s="118">
        <v>19.03</v>
      </c>
      <c r="H57" s="118">
        <v>9.5500000000000007</v>
      </c>
      <c r="I57" s="118">
        <f t="shared" si="11"/>
        <v>837.31999999999925</v>
      </c>
      <c r="J57" s="118">
        <f t="shared" si="11"/>
        <v>420.20000000000033</v>
      </c>
      <c r="K57" s="52">
        <f t="shared" si="1"/>
        <v>28.58</v>
      </c>
      <c r="L57" s="130">
        <f t="shared" si="5"/>
        <v>1228.94</v>
      </c>
      <c r="M57" s="150"/>
      <c r="N57" s="232">
        <f t="shared" si="8"/>
        <v>28.58</v>
      </c>
      <c r="O57" s="229">
        <f t="shared" si="9"/>
        <v>1218.836</v>
      </c>
      <c r="P57" s="150"/>
      <c r="Q57" s="129">
        <v>2068</v>
      </c>
      <c r="R57" s="327">
        <f t="shared" si="6"/>
        <v>0</v>
      </c>
      <c r="S57" s="13"/>
      <c r="T57" s="13"/>
    </row>
    <row r="58" spans="1:20" ht="15" customHeight="1">
      <c r="B58" s="129">
        <v>2069</v>
      </c>
      <c r="C58" s="116">
        <f t="shared" si="2"/>
        <v>1.5240362856411971E-2</v>
      </c>
      <c r="D58" s="117">
        <f t="shared" si="7"/>
        <v>101638</v>
      </c>
      <c r="E58" s="117">
        <f t="shared" si="3"/>
        <v>1549</v>
      </c>
      <c r="F58" s="117">
        <v>934</v>
      </c>
      <c r="G58" s="118">
        <v>19.03</v>
      </c>
      <c r="H58" s="118">
        <v>9.5500000000000007</v>
      </c>
      <c r="I58" s="118">
        <f t="shared" si="11"/>
        <v>856.34999999999923</v>
      </c>
      <c r="J58" s="118">
        <f t="shared" si="11"/>
        <v>429.75000000000034</v>
      </c>
      <c r="K58" s="52">
        <f t="shared" si="1"/>
        <v>28.58</v>
      </c>
      <c r="L58" s="130">
        <f t="shared" si="5"/>
        <v>1257.52</v>
      </c>
      <c r="M58" s="150"/>
      <c r="N58" s="232">
        <f t="shared" si="8"/>
        <v>28.58</v>
      </c>
      <c r="O58" s="229">
        <f t="shared" si="9"/>
        <v>1247.4159999999999</v>
      </c>
      <c r="P58" s="150"/>
      <c r="Q58" s="129">
        <v>2069</v>
      </c>
      <c r="R58" s="327">
        <f t="shared" si="6"/>
        <v>0</v>
      </c>
    </row>
    <row r="59" spans="1:20" ht="15" customHeight="1">
      <c r="B59" s="129">
        <v>2070</v>
      </c>
      <c r="C59" s="116">
        <f t="shared" si="2"/>
        <v>1.5011580916200685E-2</v>
      </c>
      <c r="D59" s="117">
        <f t="shared" si="7"/>
        <v>103187</v>
      </c>
      <c r="E59" s="117">
        <f t="shared" si="3"/>
        <v>1549</v>
      </c>
      <c r="F59" s="117">
        <v>934</v>
      </c>
      <c r="G59" s="118">
        <v>19.03</v>
      </c>
      <c r="H59" s="118">
        <v>9.5500000000000007</v>
      </c>
      <c r="I59" s="118">
        <f t="shared" si="11"/>
        <v>875.3799999999992</v>
      </c>
      <c r="J59" s="118">
        <f t="shared" si="11"/>
        <v>439.30000000000035</v>
      </c>
      <c r="K59" s="52">
        <f t="shared" si="1"/>
        <v>28.58</v>
      </c>
      <c r="L59" s="130">
        <f t="shared" si="5"/>
        <v>1286.0999999999999</v>
      </c>
      <c r="M59" s="150"/>
      <c r="N59" s="232">
        <f t="shared" si="8"/>
        <v>28.58</v>
      </c>
      <c r="O59" s="229">
        <f t="shared" si="9"/>
        <v>1275.9959999999999</v>
      </c>
      <c r="P59" s="150"/>
      <c r="Q59" s="129">
        <v>2070</v>
      </c>
      <c r="R59" s="327">
        <f t="shared" si="6"/>
        <v>0</v>
      </c>
    </row>
    <row r="60" spans="1:20" ht="15" customHeight="1">
      <c r="B60" s="129">
        <v>2071</v>
      </c>
      <c r="C60" s="116">
        <f t="shared" si="2"/>
        <v>1.4789566147265506E-2</v>
      </c>
      <c r="D60" s="117">
        <f t="shared" si="7"/>
        <v>104736</v>
      </c>
      <c r="E60" s="117">
        <f t="shared" si="3"/>
        <v>1549</v>
      </c>
      <c r="F60" s="117">
        <v>934</v>
      </c>
      <c r="G60" s="118">
        <v>19.03</v>
      </c>
      <c r="H60" s="118">
        <v>9.5500000000000007</v>
      </c>
      <c r="I60" s="118">
        <f t="shared" si="11"/>
        <v>894.40999999999917</v>
      </c>
      <c r="J60" s="118">
        <f t="shared" si="11"/>
        <v>448.85000000000036</v>
      </c>
      <c r="K60" s="52">
        <f t="shared" si="1"/>
        <v>28.58</v>
      </c>
      <c r="L60" s="130">
        <f t="shared" si="5"/>
        <v>1314.6799999999998</v>
      </c>
      <c r="M60" s="150"/>
      <c r="N60" s="232">
        <f t="shared" si="8"/>
        <v>28.58</v>
      </c>
      <c r="O60" s="229">
        <f t="shared" si="9"/>
        <v>1304.5759999999998</v>
      </c>
      <c r="P60" s="150"/>
      <c r="Q60" s="129">
        <v>2071</v>
      </c>
      <c r="R60" s="327">
        <f t="shared" si="6"/>
        <v>0</v>
      </c>
    </row>
    <row r="61" spans="1:20" ht="15" customHeight="1">
      <c r="B61" s="129">
        <v>2072</v>
      </c>
      <c r="C61" s="116">
        <f t="shared" si="2"/>
        <v>1.4574022674883568E-2</v>
      </c>
      <c r="D61" s="117">
        <f t="shared" si="7"/>
        <v>106285</v>
      </c>
      <c r="E61" s="117">
        <f t="shared" si="3"/>
        <v>1549</v>
      </c>
      <c r="F61" s="117">
        <v>934</v>
      </c>
      <c r="G61" s="118">
        <v>19.03</v>
      </c>
      <c r="H61" s="118">
        <v>9.5500000000000007</v>
      </c>
      <c r="I61" s="118">
        <f t="shared" si="11"/>
        <v>913.43999999999915</v>
      </c>
      <c r="J61" s="118">
        <f t="shared" si="11"/>
        <v>458.40000000000038</v>
      </c>
      <c r="K61" s="52">
        <f t="shared" si="1"/>
        <v>28.58</v>
      </c>
      <c r="L61" s="130">
        <f t="shared" si="5"/>
        <v>1343.2599999999998</v>
      </c>
      <c r="M61" s="150"/>
      <c r="N61" s="232">
        <f t="shared" si="8"/>
        <v>28.58</v>
      </c>
      <c r="O61" s="229">
        <f t="shared" si="9"/>
        <v>1333.1559999999997</v>
      </c>
      <c r="P61" s="150"/>
      <c r="Q61" s="129">
        <v>2072</v>
      </c>
      <c r="R61" s="327">
        <f t="shared" si="6"/>
        <v>0</v>
      </c>
    </row>
    <row r="62" spans="1:20" ht="15" customHeight="1">
      <c r="B62" s="129">
        <v>2073</v>
      </c>
      <c r="C62" s="116">
        <f t="shared" si="2"/>
        <v>1.4364671624904946E-2</v>
      </c>
      <c r="D62" s="117">
        <f t="shared" si="7"/>
        <v>107834</v>
      </c>
      <c r="E62" s="117">
        <f t="shared" si="3"/>
        <v>1549</v>
      </c>
      <c r="F62" s="117">
        <v>934</v>
      </c>
      <c r="G62" s="118">
        <v>19.03</v>
      </c>
      <c r="H62" s="118">
        <v>9.5500000000000007</v>
      </c>
      <c r="I62" s="118">
        <f t="shared" ref="I62:J77" si="12">+G62+I61</f>
        <v>932.46999999999912</v>
      </c>
      <c r="J62" s="118">
        <f t="shared" si="12"/>
        <v>467.95000000000039</v>
      </c>
      <c r="K62" s="52">
        <f t="shared" si="1"/>
        <v>28.58</v>
      </c>
      <c r="L62" s="130">
        <f t="shared" si="5"/>
        <v>1371.8399999999997</v>
      </c>
      <c r="M62" s="150"/>
      <c r="N62" s="232">
        <f t="shared" si="8"/>
        <v>28.58</v>
      </c>
      <c r="O62" s="229">
        <f t="shared" si="9"/>
        <v>1361.7359999999996</v>
      </c>
      <c r="P62" s="150"/>
      <c r="Q62" s="129">
        <v>2073</v>
      </c>
      <c r="R62" s="327">
        <f t="shared" si="6"/>
        <v>0</v>
      </c>
    </row>
    <row r="63" spans="1:20" ht="15" customHeight="1">
      <c r="B63" s="129">
        <v>2074</v>
      </c>
      <c r="C63" s="116">
        <f t="shared" si="2"/>
        <v>1.4161249920005852E-2</v>
      </c>
      <c r="D63" s="117">
        <f t="shared" si="7"/>
        <v>109383</v>
      </c>
      <c r="E63" s="117">
        <f t="shared" si="3"/>
        <v>1549</v>
      </c>
      <c r="F63" s="117">
        <v>934</v>
      </c>
      <c r="G63" s="118">
        <v>19.03</v>
      </c>
      <c r="H63" s="118">
        <v>9.5500000000000007</v>
      </c>
      <c r="I63" s="118">
        <f t="shared" si="12"/>
        <v>951.49999999999909</v>
      </c>
      <c r="J63" s="118">
        <f t="shared" si="12"/>
        <v>477.5000000000004</v>
      </c>
      <c r="K63" s="52">
        <f t="shared" si="1"/>
        <v>28.58</v>
      </c>
      <c r="L63" s="130">
        <f t="shared" si="5"/>
        <v>1400.4199999999996</v>
      </c>
      <c r="M63" s="150"/>
      <c r="N63" s="232">
        <f t="shared" si="8"/>
        <v>28.58</v>
      </c>
      <c r="O63" s="229">
        <f t="shared" si="9"/>
        <v>1390.3159999999996</v>
      </c>
      <c r="P63" s="150"/>
      <c r="Q63" s="129">
        <v>2074</v>
      </c>
      <c r="R63" s="327">
        <f t="shared" si="6"/>
        <v>0</v>
      </c>
    </row>
    <row r="64" spans="1:20" ht="15" customHeight="1">
      <c r="B64" s="129">
        <v>2075</v>
      </c>
      <c r="C64" s="116">
        <f t="shared" si="2"/>
        <v>1.3963509176792991E-2</v>
      </c>
      <c r="D64" s="117">
        <f t="shared" si="7"/>
        <v>110932</v>
      </c>
      <c r="E64" s="117">
        <f t="shared" si="3"/>
        <v>1549</v>
      </c>
      <c r="F64" s="117">
        <v>934</v>
      </c>
      <c r="G64" s="118">
        <v>19.03</v>
      </c>
      <c r="H64" s="118">
        <v>9.5500000000000007</v>
      </c>
      <c r="I64" s="118">
        <f t="shared" si="12"/>
        <v>970.52999999999906</v>
      </c>
      <c r="J64" s="118">
        <f t="shared" si="12"/>
        <v>487.05000000000041</v>
      </c>
      <c r="K64" s="52">
        <f t="shared" si="1"/>
        <v>28.58</v>
      </c>
      <c r="L64" s="130">
        <f t="shared" si="5"/>
        <v>1428.9999999999995</v>
      </c>
      <c r="M64" s="150"/>
      <c r="N64" s="232">
        <f t="shared" si="8"/>
        <v>28.58</v>
      </c>
      <c r="O64" s="229">
        <f t="shared" si="9"/>
        <v>1418.8959999999995</v>
      </c>
      <c r="P64" s="150"/>
      <c r="Q64" s="129">
        <v>2075</v>
      </c>
      <c r="R64" s="327">
        <f t="shared" si="6"/>
        <v>0</v>
      </c>
    </row>
    <row r="65" spans="1:20" ht="15" customHeight="1">
      <c r="B65" s="129">
        <v>2076</v>
      </c>
      <c r="C65" s="116">
        <f t="shared" si="2"/>
        <v>1.3771214694037215E-2</v>
      </c>
      <c r="D65" s="117">
        <f t="shared" si="7"/>
        <v>112481</v>
      </c>
      <c r="E65" s="117">
        <f t="shared" si="3"/>
        <v>1549</v>
      </c>
      <c r="F65" s="117">
        <v>934</v>
      </c>
      <c r="G65" s="118">
        <v>19.03</v>
      </c>
      <c r="H65" s="118">
        <v>9.5500000000000007</v>
      </c>
      <c r="I65" s="118">
        <f t="shared" si="12"/>
        <v>989.55999999999904</v>
      </c>
      <c r="J65" s="118">
        <f t="shared" si="12"/>
        <v>496.60000000000042</v>
      </c>
      <c r="K65" s="52">
        <f t="shared" si="1"/>
        <v>28.58</v>
      </c>
      <c r="L65" s="130">
        <f t="shared" si="5"/>
        <v>1457.5799999999995</v>
      </c>
      <c r="M65" s="150"/>
      <c r="N65" s="232">
        <f t="shared" si="8"/>
        <v>28.58</v>
      </c>
      <c r="O65" s="229">
        <f t="shared" si="9"/>
        <v>1447.4759999999994</v>
      </c>
      <c r="P65" s="150"/>
      <c r="Q65" s="129">
        <v>2076</v>
      </c>
      <c r="R65" s="327">
        <f t="shared" si="6"/>
        <v>0</v>
      </c>
    </row>
    <row r="66" spans="1:20" ht="15" customHeight="1">
      <c r="B66" s="129">
        <v>2077</v>
      </c>
      <c r="C66" s="116">
        <f t="shared" si="2"/>
        <v>1.3584144523371042E-2</v>
      </c>
      <c r="D66" s="117">
        <f t="shared" si="7"/>
        <v>114030</v>
      </c>
      <c r="E66" s="117">
        <f t="shared" si="3"/>
        <v>1549</v>
      </c>
      <c r="F66" s="117">
        <v>934</v>
      </c>
      <c r="G66" s="118">
        <v>19.03</v>
      </c>
      <c r="H66" s="118">
        <v>9.5500000000000007</v>
      </c>
      <c r="I66" s="118">
        <f t="shared" si="12"/>
        <v>1008.589999999999</v>
      </c>
      <c r="J66" s="118">
        <f t="shared" si="12"/>
        <v>506.15000000000043</v>
      </c>
      <c r="K66" s="52">
        <f t="shared" si="1"/>
        <v>28.58</v>
      </c>
      <c r="L66" s="130">
        <f t="shared" si="5"/>
        <v>1486.1599999999994</v>
      </c>
      <c r="M66" s="150"/>
      <c r="N66" s="232">
        <f t="shared" si="8"/>
        <v>28.58</v>
      </c>
      <c r="O66" s="229">
        <f t="shared" si="9"/>
        <v>1476.0559999999994</v>
      </c>
      <c r="P66" s="150"/>
      <c r="Q66" s="129">
        <v>2077</v>
      </c>
      <c r="R66" s="327">
        <f t="shared" si="6"/>
        <v>0</v>
      </c>
    </row>
    <row r="67" spans="1:20" ht="15" customHeight="1">
      <c r="B67" s="129">
        <v>2078</v>
      </c>
      <c r="C67" s="116">
        <f t="shared" si="2"/>
        <v>1.3402088614713746E-2</v>
      </c>
      <c r="D67" s="117">
        <f t="shared" si="7"/>
        <v>115579</v>
      </c>
      <c r="E67" s="117">
        <f t="shared" si="3"/>
        <v>1549</v>
      </c>
      <c r="F67" s="117">
        <v>934</v>
      </c>
      <c r="G67" s="118">
        <v>19.03</v>
      </c>
      <c r="H67" s="118">
        <v>9.5500000000000007</v>
      </c>
      <c r="I67" s="118">
        <f t="shared" si="12"/>
        <v>1027.619999999999</v>
      </c>
      <c r="J67" s="118">
        <f t="shared" si="12"/>
        <v>515.70000000000039</v>
      </c>
      <c r="K67" s="52">
        <f t="shared" si="1"/>
        <v>28.58</v>
      </c>
      <c r="L67" s="130">
        <f t="shared" si="5"/>
        <v>1514.7399999999993</v>
      </c>
      <c r="M67" s="150"/>
      <c r="N67" s="232">
        <f t="shared" si="8"/>
        <v>28.58</v>
      </c>
      <c r="O67" s="229">
        <f t="shared" si="9"/>
        <v>1504.6359999999993</v>
      </c>
      <c r="P67" s="150"/>
      <c r="Q67" s="129">
        <v>2078</v>
      </c>
      <c r="R67" s="327">
        <f t="shared" si="6"/>
        <v>0</v>
      </c>
    </row>
    <row r="68" spans="1:20" ht="15" customHeight="1">
      <c r="B68" s="129">
        <v>2079</v>
      </c>
      <c r="C68" s="116">
        <f t="shared" si="2"/>
        <v>1.3224848029506181E-2</v>
      </c>
      <c r="D68" s="117">
        <f t="shared" si="7"/>
        <v>117128</v>
      </c>
      <c r="E68" s="117">
        <f t="shared" si="3"/>
        <v>1549</v>
      </c>
      <c r="F68" s="117">
        <v>934</v>
      </c>
      <c r="G68" s="118">
        <v>19.03</v>
      </c>
      <c r="H68" s="118">
        <v>9.5500000000000007</v>
      </c>
      <c r="I68" s="118">
        <f t="shared" si="12"/>
        <v>1046.649999999999</v>
      </c>
      <c r="J68" s="118">
        <f t="shared" si="12"/>
        <v>525.25000000000034</v>
      </c>
      <c r="K68" s="52">
        <f t="shared" si="1"/>
        <v>28.58</v>
      </c>
      <c r="L68" s="130">
        <f t="shared" si="5"/>
        <v>1543.3199999999993</v>
      </c>
      <c r="M68" s="150"/>
      <c r="N68" s="232">
        <f t="shared" si="8"/>
        <v>28.58</v>
      </c>
      <c r="O68" s="229">
        <f t="shared" si="9"/>
        <v>1533.2159999999992</v>
      </c>
      <c r="P68" s="150"/>
      <c r="Q68" s="129">
        <v>2079</v>
      </c>
      <c r="R68" s="327">
        <f t="shared" si="6"/>
        <v>0</v>
      </c>
    </row>
    <row r="69" spans="1:20" s="51" customFormat="1" ht="15" customHeight="1">
      <c r="A69" s="13"/>
      <c r="B69" s="129">
        <v>2080</v>
      </c>
      <c r="C69" s="116">
        <f t="shared" si="2"/>
        <v>1.3052234215559882E-2</v>
      </c>
      <c r="D69" s="117">
        <f t="shared" si="7"/>
        <v>118677</v>
      </c>
      <c r="E69" s="117">
        <f t="shared" si="3"/>
        <v>1549</v>
      </c>
      <c r="F69" s="117">
        <v>934</v>
      </c>
      <c r="G69" s="118">
        <v>19.03</v>
      </c>
      <c r="H69" s="118">
        <v>9.5500000000000007</v>
      </c>
      <c r="I69" s="118">
        <f t="shared" si="12"/>
        <v>1065.6799999999989</v>
      </c>
      <c r="J69" s="118">
        <f t="shared" si="12"/>
        <v>534.8000000000003</v>
      </c>
      <c r="K69" s="52">
        <f t="shared" si="1"/>
        <v>28.58</v>
      </c>
      <c r="L69" s="130">
        <f t="shared" si="5"/>
        <v>1571.8999999999992</v>
      </c>
      <c r="M69" s="150"/>
      <c r="N69" s="232">
        <f t="shared" si="8"/>
        <v>28.58</v>
      </c>
      <c r="O69" s="229">
        <f t="shared" si="9"/>
        <v>1561.7959999999991</v>
      </c>
      <c r="P69" s="150"/>
      <c r="Q69" s="129">
        <v>2080</v>
      </c>
      <c r="R69" s="327">
        <f t="shared" si="6"/>
        <v>0</v>
      </c>
      <c r="S69" s="13"/>
      <c r="T69" s="13"/>
    </row>
    <row r="70" spans="1:20" s="51" customFormat="1" ht="15" customHeight="1">
      <c r="A70" s="13"/>
      <c r="B70" s="129">
        <v>2081</v>
      </c>
      <c r="C70" s="116">
        <f t="shared" si="2"/>
        <v>1.2884068337963503E-2</v>
      </c>
      <c r="D70" s="117">
        <f t="shared" si="7"/>
        <v>120226</v>
      </c>
      <c r="E70" s="117">
        <f t="shared" si="3"/>
        <v>1549</v>
      </c>
      <c r="F70" s="117">
        <v>934</v>
      </c>
      <c r="G70" s="118">
        <v>19.03</v>
      </c>
      <c r="H70" s="118">
        <v>9.5500000000000007</v>
      </c>
      <c r="I70" s="118">
        <f t="shared" si="12"/>
        <v>1084.7099999999989</v>
      </c>
      <c r="J70" s="118">
        <f t="shared" si="12"/>
        <v>544.35000000000025</v>
      </c>
      <c r="K70" s="52">
        <f t="shared" si="1"/>
        <v>28.58</v>
      </c>
      <c r="L70" s="130">
        <f t="shared" si="5"/>
        <v>1600.4799999999991</v>
      </c>
      <c r="M70" s="150"/>
      <c r="N70" s="232">
        <f t="shared" si="8"/>
        <v>28.58</v>
      </c>
      <c r="O70" s="229">
        <f t="shared" si="9"/>
        <v>1590.3759999999991</v>
      </c>
      <c r="P70" s="150"/>
      <c r="Q70" s="129">
        <v>2081</v>
      </c>
      <c r="R70" s="327">
        <f t="shared" si="6"/>
        <v>0</v>
      </c>
      <c r="S70" s="13"/>
      <c r="T70" s="13"/>
    </row>
    <row r="71" spans="1:20" s="51" customFormat="1" ht="15" customHeight="1">
      <c r="A71" s="13"/>
      <c r="B71" s="129">
        <v>2082</v>
      </c>
      <c r="C71" s="116">
        <f t="shared" si="2"/>
        <v>1.2720180661055226E-2</v>
      </c>
      <c r="D71" s="117">
        <f t="shared" si="7"/>
        <v>121775</v>
      </c>
      <c r="E71" s="117">
        <f t="shared" si="3"/>
        <v>1549</v>
      </c>
      <c r="F71" s="117">
        <v>934</v>
      </c>
      <c r="G71" s="118">
        <v>19.03</v>
      </c>
      <c r="H71" s="118">
        <v>9.5500000000000007</v>
      </c>
      <c r="I71" s="118">
        <f t="shared" si="12"/>
        <v>1103.7399999999989</v>
      </c>
      <c r="J71" s="118">
        <f t="shared" si="12"/>
        <v>553.9000000000002</v>
      </c>
      <c r="K71" s="52">
        <f t="shared" si="1"/>
        <v>28.58</v>
      </c>
      <c r="L71" s="130">
        <f t="shared" si="5"/>
        <v>1629.059999999999</v>
      </c>
      <c r="M71" s="150"/>
      <c r="N71" s="232">
        <f t="shared" si="8"/>
        <v>28.58</v>
      </c>
      <c r="O71" s="229">
        <f t="shared" si="9"/>
        <v>1618.955999999999</v>
      </c>
      <c r="P71" s="150"/>
      <c r="Q71" s="129">
        <v>2082</v>
      </c>
      <c r="R71" s="327">
        <f t="shared" si="6"/>
        <v>0</v>
      </c>
      <c r="S71" s="13"/>
      <c r="T71" s="13"/>
    </row>
    <row r="72" spans="1:20" s="51" customFormat="1" ht="15" customHeight="1">
      <c r="A72" s="13"/>
      <c r="B72" s="129">
        <v>2083</v>
      </c>
      <c r="C72" s="116">
        <f t="shared" si="2"/>
        <v>1.2560409976971229E-2</v>
      </c>
      <c r="D72" s="117">
        <f t="shared" si="7"/>
        <v>123324</v>
      </c>
      <c r="E72" s="117">
        <f t="shared" si="3"/>
        <v>1549</v>
      </c>
      <c r="F72" s="117">
        <v>934</v>
      </c>
      <c r="G72" s="118">
        <v>19.03</v>
      </c>
      <c r="H72" s="118">
        <v>9.5500000000000007</v>
      </c>
      <c r="I72" s="118">
        <f t="shared" si="12"/>
        <v>1122.7699999999988</v>
      </c>
      <c r="J72" s="118">
        <f t="shared" si="12"/>
        <v>563.45000000000016</v>
      </c>
      <c r="K72" s="52">
        <f t="shared" si="1"/>
        <v>28.58</v>
      </c>
      <c r="L72" s="130">
        <f t="shared" si="5"/>
        <v>1657.639999999999</v>
      </c>
      <c r="M72" s="150"/>
      <c r="N72" s="232">
        <f t="shared" si="8"/>
        <v>28.58</v>
      </c>
      <c r="O72" s="229">
        <f t="shared" si="9"/>
        <v>1647.5359999999989</v>
      </c>
      <c r="P72" s="150"/>
      <c r="Q72" s="129">
        <v>2083</v>
      </c>
      <c r="R72" s="327">
        <f t="shared" si="6"/>
        <v>0</v>
      </c>
      <c r="S72" s="13"/>
      <c r="T72" s="13"/>
    </row>
    <row r="73" spans="1:20" s="51" customFormat="1" ht="15" customHeight="1">
      <c r="A73" s="13"/>
      <c r="B73" s="129">
        <v>2084</v>
      </c>
      <c r="C73" s="116">
        <f t="shared" si="2"/>
        <v>1.2404603076725954E-2</v>
      </c>
      <c r="D73" s="117">
        <f t="shared" si="7"/>
        <v>124873</v>
      </c>
      <c r="E73" s="117">
        <f t="shared" si="3"/>
        <v>1549</v>
      </c>
      <c r="F73" s="117">
        <v>934</v>
      </c>
      <c r="G73" s="118">
        <v>19.03</v>
      </c>
      <c r="H73" s="118">
        <v>9.5500000000000007</v>
      </c>
      <c r="I73" s="118">
        <f t="shared" si="12"/>
        <v>1141.7999999999988</v>
      </c>
      <c r="J73" s="118">
        <f t="shared" si="12"/>
        <v>573.00000000000011</v>
      </c>
      <c r="K73" s="52">
        <f t="shared" si="1"/>
        <v>28.58</v>
      </c>
      <c r="L73" s="130">
        <f t="shared" si="5"/>
        <v>1686.2199999999989</v>
      </c>
      <c r="M73" s="150"/>
      <c r="N73" s="232">
        <f t="shared" si="8"/>
        <v>28.58</v>
      </c>
      <c r="O73" s="229">
        <f t="shared" si="9"/>
        <v>1676.1159999999988</v>
      </c>
      <c r="P73" s="150"/>
      <c r="Q73" s="129">
        <v>2084</v>
      </c>
      <c r="R73" s="327">
        <f t="shared" si="6"/>
        <v>0</v>
      </c>
      <c r="S73" s="13"/>
      <c r="T73" s="13"/>
    </row>
    <row r="74" spans="1:20" s="51" customFormat="1" ht="15" customHeight="1">
      <c r="A74" s="13"/>
      <c r="B74" s="129">
        <v>2085</v>
      </c>
      <c r="C74" s="116">
        <f t="shared" si="2"/>
        <v>1.2252614260176235E-2</v>
      </c>
      <c r="D74" s="117">
        <f t="shared" si="7"/>
        <v>126422</v>
      </c>
      <c r="E74" s="117">
        <f t="shared" si="3"/>
        <v>1549</v>
      </c>
      <c r="F74" s="117">
        <v>934</v>
      </c>
      <c r="G74" s="118">
        <v>19.03</v>
      </c>
      <c r="H74" s="118">
        <v>9.5500000000000007</v>
      </c>
      <c r="I74" s="118">
        <f t="shared" si="12"/>
        <v>1160.8299999999988</v>
      </c>
      <c r="J74" s="118">
        <f t="shared" si="12"/>
        <v>582.55000000000007</v>
      </c>
      <c r="K74" s="52">
        <f t="shared" si="1"/>
        <v>28.58</v>
      </c>
      <c r="L74" s="130">
        <f t="shared" si="5"/>
        <v>1714.7999999999988</v>
      </c>
      <c r="M74" s="150"/>
      <c r="N74" s="232">
        <f t="shared" si="8"/>
        <v>28.58</v>
      </c>
      <c r="O74" s="229">
        <f t="shared" si="9"/>
        <v>1704.6959999999988</v>
      </c>
      <c r="P74" s="150"/>
      <c r="Q74" s="129">
        <v>2085</v>
      </c>
      <c r="R74" s="327">
        <f t="shared" si="6"/>
        <v>0</v>
      </c>
      <c r="S74" s="13"/>
      <c r="T74" s="13"/>
    </row>
    <row r="75" spans="1:20" s="51" customFormat="1" ht="15" customHeight="1">
      <c r="A75" s="13"/>
      <c r="B75" s="129">
        <v>2086</v>
      </c>
      <c r="C75" s="116">
        <f t="shared" si="2"/>
        <v>1.2104304881574731E-2</v>
      </c>
      <c r="D75" s="117">
        <f t="shared" si="7"/>
        <v>127971</v>
      </c>
      <c r="E75" s="117">
        <f t="shared" si="3"/>
        <v>1549</v>
      </c>
      <c r="F75" s="117">
        <v>934</v>
      </c>
      <c r="G75" s="118">
        <v>19.03</v>
      </c>
      <c r="H75" s="118">
        <v>9.5500000000000007</v>
      </c>
      <c r="I75" s="118">
        <f t="shared" si="12"/>
        <v>1179.8599999999988</v>
      </c>
      <c r="J75" s="118">
        <f t="shared" si="12"/>
        <v>592.1</v>
      </c>
      <c r="K75" s="52">
        <f t="shared" si="1"/>
        <v>28.58</v>
      </c>
      <c r="L75" s="130">
        <f t="shared" si="5"/>
        <v>1743.3799999999987</v>
      </c>
      <c r="M75" s="150"/>
      <c r="N75" s="232">
        <f t="shared" si="8"/>
        <v>28.58</v>
      </c>
      <c r="O75" s="229">
        <f t="shared" si="9"/>
        <v>1733.2759999999987</v>
      </c>
      <c r="P75" s="150"/>
      <c r="Q75" s="129">
        <v>2086</v>
      </c>
      <c r="R75" s="327">
        <f t="shared" si="6"/>
        <v>0</v>
      </c>
      <c r="S75" s="13"/>
      <c r="T75" s="13"/>
    </row>
    <row r="76" spans="1:20" s="51" customFormat="1" ht="15" customHeight="1">
      <c r="A76" s="13"/>
      <c r="B76" s="129">
        <v>2087</v>
      </c>
      <c r="C76" s="116">
        <f t="shared" si="2"/>
        <v>1.1959542927733168E-2</v>
      </c>
      <c r="D76" s="117">
        <f t="shared" si="7"/>
        <v>129520</v>
      </c>
      <c r="E76" s="117">
        <f t="shared" si="3"/>
        <v>1549</v>
      </c>
      <c r="F76" s="117">
        <v>934</v>
      </c>
      <c r="G76" s="118">
        <v>19.03</v>
      </c>
      <c r="H76" s="118">
        <v>9.5500000000000007</v>
      </c>
      <c r="I76" s="118">
        <f t="shared" si="12"/>
        <v>1198.8899999999987</v>
      </c>
      <c r="J76" s="118">
        <f t="shared" si="12"/>
        <v>601.65</v>
      </c>
      <c r="K76" s="52">
        <f t="shared" si="1"/>
        <v>28.58</v>
      </c>
      <c r="L76" s="130">
        <f t="shared" si="5"/>
        <v>1771.9599999999987</v>
      </c>
      <c r="M76" s="150"/>
      <c r="N76" s="232">
        <f t="shared" si="8"/>
        <v>28.58</v>
      </c>
      <c r="O76" s="229">
        <f t="shared" si="9"/>
        <v>1761.8559999999986</v>
      </c>
      <c r="P76" s="150"/>
      <c r="Q76" s="129">
        <v>2087</v>
      </c>
      <c r="R76" s="327">
        <f t="shared" si="6"/>
        <v>0</v>
      </c>
      <c r="S76" s="13"/>
      <c r="T76" s="13"/>
    </row>
    <row r="77" spans="1:20" s="51" customFormat="1" ht="15" customHeight="1">
      <c r="A77" s="13"/>
      <c r="B77" s="129">
        <v>2088</v>
      </c>
      <c r="C77" s="116">
        <f t="shared" ref="C77:C123" si="13">(D78-D77)/D77</f>
        <v>1.1818202626097705E-2</v>
      </c>
      <c r="D77" s="117">
        <f t="shared" si="7"/>
        <v>131069</v>
      </c>
      <c r="E77" s="117">
        <f t="shared" si="3"/>
        <v>1549</v>
      </c>
      <c r="F77" s="117">
        <v>934</v>
      </c>
      <c r="G77" s="118">
        <v>19.03</v>
      </c>
      <c r="H77" s="118">
        <v>9.5500000000000007</v>
      </c>
      <c r="I77" s="118">
        <f t="shared" si="12"/>
        <v>1217.9199999999987</v>
      </c>
      <c r="J77" s="118">
        <f t="shared" si="12"/>
        <v>611.19999999999993</v>
      </c>
      <c r="K77" s="52">
        <f t="shared" si="1"/>
        <v>28.58</v>
      </c>
      <c r="L77" s="130">
        <f t="shared" si="5"/>
        <v>1800.5399999999986</v>
      </c>
      <c r="M77" s="150"/>
      <c r="N77" s="232">
        <f t="shared" si="8"/>
        <v>28.58</v>
      </c>
      <c r="O77" s="229">
        <f t="shared" si="9"/>
        <v>1790.4359999999986</v>
      </c>
      <c r="P77" s="150"/>
      <c r="Q77" s="129">
        <v>2088</v>
      </c>
      <c r="R77" s="327">
        <f t="shared" si="6"/>
        <v>0</v>
      </c>
      <c r="S77" s="13"/>
      <c r="T77" s="13"/>
    </row>
    <row r="78" spans="1:20" s="51" customFormat="1" ht="15" customHeight="1">
      <c r="A78" s="13"/>
      <c r="B78" s="129">
        <v>2089</v>
      </c>
      <c r="C78" s="116">
        <f t="shared" si="13"/>
        <v>1.168016408029076E-2</v>
      </c>
      <c r="D78" s="117">
        <f t="shared" ref="D78:D124" si="14">E78+D77</f>
        <v>132618</v>
      </c>
      <c r="E78" s="117">
        <f t="shared" si="3"/>
        <v>1549</v>
      </c>
      <c r="F78" s="117">
        <v>934</v>
      </c>
      <c r="G78" s="118">
        <v>19.03</v>
      </c>
      <c r="H78" s="118">
        <v>9.5500000000000007</v>
      </c>
      <c r="I78" s="118">
        <f t="shared" ref="I78:J93" si="15">+G78+I77</f>
        <v>1236.9499999999987</v>
      </c>
      <c r="J78" s="118">
        <f t="shared" si="15"/>
        <v>620.74999999999989</v>
      </c>
      <c r="K78" s="52">
        <f t="shared" ref="K78:K124" si="16">ROUND(G78+H78,2)</f>
        <v>28.58</v>
      </c>
      <c r="L78" s="130">
        <f t="shared" si="5"/>
        <v>1829.1199999999985</v>
      </c>
      <c r="M78" s="150"/>
      <c r="N78" s="232">
        <f t="shared" si="8"/>
        <v>28.58</v>
      </c>
      <c r="O78" s="229">
        <f t="shared" si="9"/>
        <v>1819.0159999999985</v>
      </c>
      <c r="P78" s="150"/>
      <c r="Q78" s="129">
        <v>2089</v>
      </c>
      <c r="R78" s="327">
        <f t="shared" si="6"/>
        <v>0</v>
      </c>
      <c r="S78" s="13"/>
      <c r="T78" s="13"/>
    </row>
    <row r="79" spans="1:20" s="51" customFormat="1" ht="15" customHeight="1">
      <c r="A79" s="13"/>
      <c r="B79" s="129">
        <v>2090</v>
      </c>
      <c r="C79" s="116">
        <f t="shared" si="13"/>
        <v>1.154531293089955E-2</v>
      </c>
      <c r="D79" s="117">
        <f t="shared" si="14"/>
        <v>134167</v>
      </c>
      <c r="E79" s="117">
        <f t="shared" ref="E79:E124" si="17">+E78</f>
        <v>1549</v>
      </c>
      <c r="F79" s="117">
        <v>934</v>
      </c>
      <c r="G79" s="118">
        <v>19.03</v>
      </c>
      <c r="H79" s="118">
        <v>9.5500000000000007</v>
      </c>
      <c r="I79" s="118">
        <f t="shared" si="15"/>
        <v>1255.9799999999987</v>
      </c>
      <c r="J79" s="118">
        <f t="shared" si="15"/>
        <v>630.29999999999984</v>
      </c>
      <c r="K79" s="52">
        <f t="shared" si="16"/>
        <v>28.58</v>
      </c>
      <c r="L79" s="130">
        <f t="shared" ref="L79:L124" si="18">+K79+L78</f>
        <v>1857.6999999999985</v>
      </c>
      <c r="M79" s="150"/>
      <c r="N79" s="232">
        <f t="shared" si="8"/>
        <v>28.58</v>
      </c>
      <c r="O79" s="229">
        <f t="shared" si="9"/>
        <v>1847.5959999999984</v>
      </c>
      <c r="P79" s="150"/>
      <c r="Q79" s="129">
        <v>2090</v>
      </c>
      <c r="R79" s="327">
        <f t="shared" si="6"/>
        <v>0</v>
      </c>
      <c r="S79" s="13"/>
      <c r="T79" s="13"/>
    </row>
    <row r="80" spans="1:20" s="51" customFormat="1" ht="15" customHeight="1">
      <c r="A80" s="13"/>
      <c r="B80" s="129">
        <v>2091</v>
      </c>
      <c r="C80" s="116">
        <f t="shared" si="13"/>
        <v>1.1413540039494238E-2</v>
      </c>
      <c r="D80" s="117">
        <f t="shared" si="14"/>
        <v>135716</v>
      </c>
      <c r="E80" s="117">
        <f t="shared" si="17"/>
        <v>1549</v>
      </c>
      <c r="F80" s="117">
        <v>934</v>
      </c>
      <c r="G80" s="118">
        <v>19.03</v>
      </c>
      <c r="H80" s="118">
        <v>9.5500000000000007</v>
      </c>
      <c r="I80" s="118">
        <f t="shared" si="15"/>
        <v>1275.0099999999986</v>
      </c>
      <c r="J80" s="118">
        <f t="shared" si="15"/>
        <v>639.8499999999998</v>
      </c>
      <c r="K80" s="52">
        <f t="shared" si="16"/>
        <v>28.58</v>
      </c>
      <c r="L80" s="130">
        <f t="shared" si="18"/>
        <v>1886.2799999999984</v>
      </c>
      <c r="M80" s="150"/>
      <c r="N80" s="232">
        <f t="shared" si="8"/>
        <v>28.58</v>
      </c>
      <c r="O80" s="229">
        <f t="shared" si="9"/>
        <v>1876.1759999999983</v>
      </c>
      <c r="P80" s="150"/>
      <c r="Q80" s="129">
        <v>2091</v>
      </c>
      <c r="R80" s="327">
        <f t="shared" ref="R80:R123" si="19">IF($R$14&gt;O80,N80,IF($R$14-O79&gt;0,$R$14-O79,0))</f>
        <v>0</v>
      </c>
      <c r="S80" s="13"/>
      <c r="T80" s="13"/>
    </row>
    <row r="81" spans="1:20" s="51" customFormat="1" ht="15" customHeight="1">
      <c r="A81" s="13"/>
      <c r="B81" s="129">
        <v>2092</v>
      </c>
      <c r="C81" s="116">
        <f t="shared" si="13"/>
        <v>1.1284741194040724E-2</v>
      </c>
      <c r="D81" s="117">
        <f t="shared" si="14"/>
        <v>137265</v>
      </c>
      <c r="E81" s="117">
        <f t="shared" si="17"/>
        <v>1549</v>
      </c>
      <c r="F81" s="117">
        <v>934</v>
      </c>
      <c r="G81" s="118">
        <v>19.03</v>
      </c>
      <c r="H81" s="118">
        <v>9.5500000000000007</v>
      </c>
      <c r="I81" s="118">
        <f t="shared" si="15"/>
        <v>1294.0399999999986</v>
      </c>
      <c r="J81" s="118">
        <f t="shared" si="15"/>
        <v>649.39999999999975</v>
      </c>
      <c r="K81" s="52">
        <f t="shared" si="16"/>
        <v>28.58</v>
      </c>
      <c r="L81" s="130">
        <f t="shared" si="18"/>
        <v>1914.8599999999983</v>
      </c>
      <c r="M81" s="150"/>
      <c r="N81" s="232">
        <f t="shared" ref="N81:N123" si="20">K81</f>
        <v>28.58</v>
      </c>
      <c r="O81" s="229">
        <f t="shared" ref="O81:O123" si="21">N81+O80</f>
        <v>1904.7559999999983</v>
      </c>
      <c r="P81" s="150"/>
      <c r="Q81" s="129">
        <v>2092</v>
      </c>
      <c r="R81" s="327">
        <f t="shared" si="19"/>
        <v>0</v>
      </c>
      <c r="S81" s="13"/>
      <c r="T81" s="13"/>
    </row>
    <row r="82" spans="1:20" s="51" customFormat="1" ht="15" customHeight="1">
      <c r="A82" s="13"/>
      <c r="B82" s="129">
        <v>2093</v>
      </c>
      <c r="C82" s="116">
        <f t="shared" si="13"/>
        <v>1.1158816834036913E-2</v>
      </c>
      <c r="D82" s="117">
        <f t="shared" si="14"/>
        <v>138814</v>
      </c>
      <c r="E82" s="117">
        <f t="shared" si="17"/>
        <v>1549</v>
      </c>
      <c r="F82" s="117">
        <v>934</v>
      </c>
      <c r="G82" s="118">
        <v>19.03</v>
      </c>
      <c r="H82" s="118">
        <v>9.5500000000000007</v>
      </c>
      <c r="I82" s="118">
        <f t="shared" si="15"/>
        <v>1313.0699999999986</v>
      </c>
      <c r="J82" s="118">
        <f t="shared" si="15"/>
        <v>658.9499999999997</v>
      </c>
      <c r="K82" s="52">
        <f t="shared" si="16"/>
        <v>28.58</v>
      </c>
      <c r="L82" s="130">
        <f t="shared" si="18"/>
        <v>1943.4399999999982</v>
      </c>
      <c r="M82" s="150"/>
      <c r="N82" s="232">
        <f t="shared" si="20"/>
        <v>28.58</v>
      </c>
      <c r="O82" s="229">
        <f t="shared" si="21"/>
        <v>1933.3359999999982</v>
      </c>
      <c r="P82" s="150"/>
      <c r="Q82" s="129">
        <v>2093</v>
      </c>
      <c r="R82" s="327">
        <f t="shared" si="19"/>
        <v>0</v>
      </c>
      <c r="S82" s="13"/>
      <c r="T82" s="13"/>
    </row>
    <row r="83" spans="1:20" s="51" customFormat="1" ht="15" customHeight="1">
      <c r="A83" s="13"/>
      <c r="B83" s="129">
        <v>2094</v>
      </c>
      <c r="C83" s="116">
        <f t="shared" si="13"/>
        <v>1.1035671793848807E-2</v>
      </c>
      <c r="D83" s="117">
        <f t="shared" si="14"/>
        <v>140363</v>
      </c>
      <c r="E83" s="117">
        <f t="shared" si="17"/>
        <v>1549</v>
      </c>
      <c r="F83" s="117">
        <v>934</v>
      </c>
      <c r="G83" s="118">
        <v>19.03</v>
      </c>
      <c r="H83" s="118">
        <v>9.5500000000000007</v>
      </c>
      <c r="I83" s="118">
        <f t="shared" si="15"/>
        <v>1332.0999999999985</v>
      </c>
      <c r="J83" s="118">
        <f t="shared" si="15"/>
        <v>668.49999999999966</v>
      </c>
      <c r="K83" s="52">
        <f t="shared" si="16"/>
        <v>28.58</v>
      </c>
      <c r="L83" s="130">
        <f t="shared" si="18"/>
        <v>1972.0199999999982</v>
      </c>
      <c r="M83" s="150"/>
      <c r="N83" s="232">
        <f t="shared" si="20"/>
        <v>28.58</v>
      </c>
      <c r="O83" s="229">
        <f t="shared" si="21"/>
        <v>1961.9159999999981</v>
      </c>
      <c r="P83" s="150"/>
      <c r="Q83" s="129">
        <v>2094</v>
      </c>
      <c r="R83" s="327">
        <f t="shared" si="19"/>
        <v>0</v>
      </c>
      <c r="S83" s="13"/>
      <c r="T83" s="13"/>
    </row>
    <row r="84" spans="1:20" s="51" customFormat="1" ht="15" customHeight="1">
      <c r="A84" s="13"/>
      <c r="B84" s="129">
        <v>2095</v>
      </c>
      <c r="C84" s="116">
        <f t="shared" si="13"/>
        <v>1.0915215062855855E-2</v>
      </c>
      <c r="D84" s="117">
        <f t="shared" si="14"/>
        <v>141912</v>
      </c>
      <c r="E84" s="117">
        <f t="shared" si="17"/>
        <v>1549</v>
      </c>
      <c r="F84" s="117">
        <v>934</v>
      </c>
      <c r="G84" s="118">
        <v>19.03</v>
      </c>
      <c r="H84" s="118">
        <v>9.5500000000000007</v>
      </c>
      <c r="I84" s="118">
        <f t="shared" si="15"/>
        <v>1351.1299999999985</v>
      </c>
      <c r="J84" s="118">
        <f t="shared" si="15"/>
        <v>678.04999999999961</v>
      </c>
      <c r="K84" s="52">
        <f t="shared" si="16"/>
        <v>28.58</v>
      </c>
      <c r="L84" s="130">
        <f t="shared" si="18"/>
        <v>2000.5999999999981</v>
      </c>
      <c r="M84" s="150"/>
      <c r="N84" s="232">
        <f t="shared" si="20"/>
        <v>28.58</v>
      </c>
      <c r="O84" s="229">
        <f t="shared" si="21"/>
        <v>1990.495999999998</v>
      </c>
      <c r="P84" s="150"/>
      <c r="Q84" s="129">
        <v>2095</v>
      </c>
      <c r="R84" s="327">
        <f t="shared" si="19"/>
        <v>0</v>
      </c>
      <c r="S84" s="13"/>
      <c r="T84" s="13"/>
    </row>
    <row r="85" spans="1:20" s="51" customFormat="1" ht="15" customHeight="1">
      <c r="A85" s="13"/>
      <c r="B85" s="129">
        <v>2096</v>
      </c>
      <c r="C85" s="116">
        <f t="shared" si="13"/>
        <v>1.0797359561135082E-2</v>
      </c>
      <c r="D85" s="117">
        <f t="shared" si="14"/>
        <v>143461</v>
      </c>
      <c r="E85" s="117">
        <f t="shared" si="17"/>
        <v>1549</v>
      </c>
      <c r="F85" s="117">
        <v>934</v>
      </c>
      <c r="G85" s="118">
        <v>19.03</v>
      </c>
      <c r="H85" s="118">
        <v>9.5500000000000007</v>
      </c>
      <c r="I85" s="118">
        <f t="shared" si="15"/>
        <v>1370.1599999999985</v>
      </c>
      <c r="J85" s="118">
        <f t="shared" si="15"/>
        <v>687.59999999999957</v>
      </c>
      <c r="K85" s="52">
        <f t="shared" si="16"/>
        <v>28.58</v>
      </c>
      <c r="L85" s="130">
        <f t="shared" si="18"/>
        <v>2029.179999999998</v>
      </c>
      <c r="M85" s="150"/>
      <c r="N85" s="232">
        <f t="shared" si="20"/>
        <v>28.58</v>
      </c>
      <c r="O85" s="229">
        <f t="shared" si="21"/>
        <v>2019.075999999998</v>
      </c>
      <c r="P85" s="150"/>
      <c r="Q85" s="129">
        <v>2096</v>
      </c>
      <c r="R85" s="327">
        <f t="shared" si="19"/>
        <v>0</v>
      </c>
      <c r="S85" s="13"/>
      <c r="T85" s="13"/>
    </row>
    <row r="86" spans="1:20" s="51" customFormat="1" ht="15" customHeight="1">
      <c r="A86" s="13"/>
      <c r="B86" s="129">
        <v>2097</v>
      </c>
      <c r="C86" s="116">
        <f t="shared" si="13"/>
        <v>1.0682021929522102E-2</v>
      </c>
      <c r="D86" s="117">
        <f t="shared" si="14"/>
        <v>145010</v>
      </c>
      <c r="E86" s="117">
        <f t="shared" si="17"/>
        <v>1549</v>
      </c>
      <c r="F86" s="117">
        <v>934</v>
      </c>
      <c r="G86" s="118">
        <v>19.03</v>
      </c>
      <c r="H86" s="118">
        <v>9.5500000000000007</v>
      </c>
      <c r="I86" s="118">
        <f t="shared" si="15"/>
        <v>1389.1899999999985</v>
      </c>
      <c r="J86" s="118">
        <f t="shared" si="15"/>
        <v>697.14999999999952</v>
      </c>
      <c r="K86" s="52">
        <f t="shared" si="16"/>
        <v>28.58</v>
      </c>
      <c r="L86" s="130">
        <f t="shared" si="18"/>
        <v>2057.7599999999979</v>
      </c>
      <c r="M86" s="150"/>
      <c r="N86" s="232">
        <f t="shared" si="20"/>
        <v>28.58</v>
      </c>
      <c r="O86" s="229">
        <f t="shared" si="21"/>
        <v>2047.6559999999979</v>
      </c>
      <c r="P86" s="150"/>
      <c r="Q86" s="129">
        <v>2097</v>
      </c>
      <c r="R86" s="327">
        <f t="shared" si="19"/>
        <v>0</v>
      </c>
      <c r="S86" s="13"/>
      <c r="T86" s="13"/>
    </row>
    <row r="87" spans="1:20" s="51" customFormat="1" ht="15" customHeight="1">
      <c r="A87" s="13"/>
      <c r="B87" s="129">
        <v>2098</v>
      </c>
      <c r="C87" s="116">
        <f t="shared" si="13"/>
        <v>1.0569122332985351E-2</v>
      </c>
      <c r="D87" s="117">
        <f t="shared" si="14"/>
        <v>146559</v>
      </c>
      <c r="E87" s="117">
        <f t="shared" si="17"/>
        <v>1549</v>
      </c>
      <c r="F87" s="117">
        <v>934</v>
      </c>
      <c r="G87" s="118">
        <v>19.03</v>
      </c>
      <c r="H87" s="118">
        <v>9.5500000000000007</v>
      </c>
      <c r="I87" s="118">
        <f t="shared" si="15"/>
        <v>1408.2199999999984</v>
      </c>
      <c r="J87" s="118">
        <f t="shared" si="15"/>
        <v>706.69999999999948</v>
      </c>
      <c r="K87" s="52">
        <f t="shared" si="16"/>
        <v>28.58</v>
      </c>
      <c r="L87" s="130">
        <f t="shared" si="18"/>
        <v>2086.3399999999979</v>
      </c>
      <c r="M87" s="150"/>
      <c r="N87" s="232">
        <f t="shared" si="20"/>
        <v>28.58</v>
      </c>
      <c r="O87" s="229">
        <f t="shared" si="21"/>
        <v>2076.2359999999981</v>
      </c>
      <c r="P87" s="150"/>
      <c r="Q87" s="129">
        <v>2098</v>
      </c>
      <c r="R87" s="327">
        <f t="shared" si="19"/>
        <v>0</v>
      </c>
      <c r="S87" s="13"/>
      <c r="T87" s="13"/>
    </row>
    <row r="88" spans="1:20" s="51" customFormat="1" ht="15" customHeight="1">
      <c r="A88" s="13"/>
      <c r="B88" s="129">
        <v>2099</v>
      </c>
      <c r="C88" s="116">
        <f t="shared" si="13"/>
        <v>1.0458584276338887E-2</v>
      </c>
      <c r="D88" s="117">
        <f t="shared" si="14"/>
        <v>148108</v>
      </c>
      <c r="E88" s="117">
        <f t="shared" si="17"/>
        <v>1549</v>
      </c>
      <c r="F88" s="117">
        <v>934</v>
      </c>
      <c r="G88" s="118">
        <v>19.03</v>
      </c>
      <c r="H88" s="118">
        <v>9.5500000000000007</v>
      </c>
      <c r="I88" s="118">
        <f t="shared" si="15"/>
        <v>1427.2499999999984</v>
      </c>
      <c r="J88" s="118">
        <f t="shared" si="15"/>
        <v>716.24999999999943</v>
      </c>
      <c r="K88" s="52">
        <f t="shared" si="16"/>
        <v>28.58</v>
      </c>
      <c r="L88" s="130">
        <f t="shared" si="18"/>
        <v>2114.9199999999978</v>
      </c>
      <c r="M88" s="150"/>
      <c r="N88" s="232">
        <f t="shared" si="20"/>
        <v>28.58</v>
      </c>
      <c r="O88" s="229">
        <f t="shared" si="21"/>
        <v>2104.815999999998</v>
      </c>
      <c r="P88" s="150"/>
      <c r="Q88" s="129">
        <v>2099</v>
      </c>
      <c r="R88" s="327">
        <f t="shared" si="19"/>
        <v>0</v>
      </c>
      <c r="S88" s="13"/>
      <c r="T88" s="13"/>
    </row>
    <row r="89" spans="1:20" s="51" customFormat="1" ht="15" customHeight="1">
      <c r="A89" s="13"/>
      <c r="B89" s="129">
        <v>2100</v>
      </c>
      <c r="C89" s="116">
        <f t="shared" si="13"/>
        <v>1.0350334431399801E-2</v>
      </c>
      <c r="D89" s="117">
        <f t="shared" si="14"/>
        <v>149657</v>
      </c>
      <c r="E89" s="117">
        <f t="shared" si="17"/>
        <v>1549</v>
      </c>
      <c r="F89" s="117">
        <v>934</v>
      </c>
      <c r="G89" s="118">
        <v>19.03</v>
      </c>
      <c r="H89" s="118">
        <v>9.5500000000000007</v>
      </c>
      <c r="I89" s="118">
        <f t="shared" si="15"/>
        <v>1446.2799999999984</v>
      </c>
      <c r="J89" s="118">
        <f t="shared" si="15"/>
        <v>725.79999999999939</v>
      </c>
      <c r="K89" s="52">
        <f t="shared" si="16"/>
        <v>28.58</v>
      </c>
      <c r="L89" s="130">
        <f t="shared" si="18"/>
        <v>2143.4999999999977</v>
      </c>
      <c r="M89" s="150"/>
      <c r="N89" s="232">
        <f t="shared" si="20"/>
        <v>28.58</v>
      </c>
      <c r="O89" s="229">
        <f t="shared" si="21"/>
        <v>2133.3959999999979</v>
      </c>
      <c r="P89" s="150"/>
      <c r="Q89" s="129">
        <v>2100</v>
      </c>
      <c r="R89" s="327">
        <f t="shared" si="19"/>
        <v>0</v>
      </c>
      <c r="S89" s="13"/>
      <c r="T89" s="13"/>
    </row>
    <row r="90" spans="1:20" s="51" customFormat="1" ht="15" customHeight="1">
      <c r="A90" s="13"/>
      <c r="B90" s="129">
        <v>2101</v>
      </c>
      <c r="C90" s="116">
        <f t="shared" si="13"/>
        <v>1.0244302474769519E-2</v>
      </c>
      <c r="D90" s="117">
        <f t="shared" si="14"/>
        <v>151206</v>
      </c>
      <c r="E90" s="117">
        <f t="shared" si="17"/>
        <v>1549</v>
      </c>
      <c r="F90" s="117">
        <v>934</v>
      </c>
      <c r="G90" s="118">
        <v>19.03</v>
      </c>
      <c r="H90" s="118">
        <v>9.5500000000000007</v>
      </c>
      <c r="I90" s="118">
        <f t="shared" si="15"/>
        <v>1465.3099999999984</v>
      </c>
      <c r="J90" s="118">
        <f t="shared" si="15"/>
        <v>735.34999999999934</v>
      </c>
      <c r="K90" s="52">
        <f t="shared" si="16"/>
        <v>28.58</v>
      </c>
      <c r="L90" s="130">
        <f t="shared" si="18"/>
        <v>2172.0799999999977</v>
      </c>
      <c r="M90" s="150"/>
      <c r="N90" s="232">
        <f t="shared" si="20"/>
        <v>28.58</v>
      </c>
      <c r="O90" s="229">
        <f t="shared" si="21"/>
        <v>2161.9759999999978</v>
      </c>
      <c r="P90" s="150"/>
      <c r="Q90" s="129">
        <v>2101</v>
      </c>
      <c r="R90" s="327">
        <f t="shared" si="19"/>
        <v>0</v>
      </c>
      <c r="S90" s="13"/>
      <c r="T90" s="13"/>
    </row>
    <row r="91" spans="1:20" s="51" customFormat="1" ht="15" customHeight="1">
      <c r="A91" s="13"/>
      <c r="B91" s="129">
        <v>2102</v>
      </c>
      <c r="C91" s="116">
        <f t="shared" si="13"/>
        <v>1.0140420935484926E-2</v>
      </c>
      <c r="D91" s="117">
        <f t="shared" si="14"/>
        <v>152755</v>
      </c>
      <c r="E91" s="117">
        <f t="shared" si="17"/>
        <v>1549</v>
      </c>
      <c r="F91" s="117">
        <v>934</v>
      </c>
      <c r="G91" s="118">
        <v>19.03</v>
      </c>
      <c r="H91" s="118">
        <v>9.5500000000000007</v>
      </c>
      <c r="I91" s="118">
        <f t="shared" si="15"/>
        <v>1484.3399999999983</v>
      </c>
      <c r="J91" s="118">
        <f t="shared" si="15"/>
        <v>744.8999999999993</v>
      </c>
      <c r="K91" s="52">
        <f t="shared" si="16"/>
        <v>28.58</v>
      </c>
      <c r="L91" s="130">
        <f t="shared" si="18"/>
        <v>2200.6599999999976</v>
      </c>
      <c r="M91" s="150"/>
      <c r="N91" s="232">
        <f t="shared" si="20"/>
        <v>28.58</v>
      </c>
      <c r="O91" s="229">
        <f t="shared" si="21"/>
        <v>2190.5559999999978</v>
      </c>
      <c r="P91" s="150"/>
      <c r="Q91" s="129">
        <v>2102</v>
      </c>
      <c r="R91" s="327">
        <f t="shared" si="19"/>
        <v>0</v>
      </c>
      <c r="S91" s="13"/>
      <c r="T91" s="13"/>
    </row>
    <row r="92" spans="1:20" s="51" customFormat="1" ht="15" customHeight="1">
      <c r="A92" s="13"/>
      <c r="B92" s="129">
        <v>2103</v>
      </c>
      <c r="C92" s="116">
        <f t="shared" si="13"/>
        <v>1.0038625051845707E-2</v>
      </c>
      <c r="D92" s="117">
        <f t="shared" si="14"/>
        <v>154304</v>
      </c>
      <c r="E92" s="117">
        <f t="shared" si="17"/>
        <v>1549</v>
      </c>
      <c r="F92" s="117">
        <v>934</v>
      </c>
      <c r="G92" s="118">
        <v>19.03</v>
      </c>
      <c r="H92" s="118">
        <v>9.5500000000000007</v>
      </c>
      <c r="I92" s="118">
        <f t="shared" si="15"/>
        <v>1503.3699999999983</v>
      </c>
      <c r="J92" s="118">
        <f t="shared" si="15"/>
        <v>754.44999999999925</v>
      </c>
      <c r="K92" s="52">
        <f t="shared" si="16"/>
        <v>28.58</v>
      </c>
      <c r="L92" s="130">
        <f t="shared" si="18"/>
        <v>2229.2399999999975</v>
      </c>
      <c r="M92" s="150"/>
      <c r="N92" s="232">
        <f t="shared" si="20"/>
        <v>28.58</v>
      </c>
      <c r="O92" s="229">
        <f t="shared" si="21"/>
        <v>2219.1359999999977</v>
      </c>
      <c r="P92" s="150"/>
      <c r="Q92" s="129">
        <v>2103</v>
      </c>
      <c r="R92" s="327">
        <f t="shared" si="19"/>
        <v>0</v>
      </c>
      <c r="S92" s="13"/>
      <c r="T92" s="13"/>
    </row>
    <row r="93" spans="1:20" s="51" customFormat="1" ht="15" customHeight="1">
      <c r="A93" s="13"/>
      <c r="B93" s="129">
        <v>2104</v>
      </c>
      <c r="C93" s="116">
        <f t="shared" si="13"/>
        <v>9.9388526367795299E-3</v>
      </c>
      <c r="D93" s="117">
        <f t="shared" si="14"/>
        <v>155853</v>
      </c>
      <c r="E93" s="117">
        <f t="shared" si="17"/>
        <v>1549</v>
      </c>
      <c r="F93" s="117">
        <v>934</v>
      </c>
      <c r="G93" s="118">
        <v>19.03</v>
      </c>
      <c r="H93" s="118">
        <v>9.5500000000000007</v>
      </c>
      <c r="I93" s="118">
        <f t="shared" si="15"/>
        <v>1522.3999999999983</v>
      </c>
      <c r="J93" s="118">
        <f t="shared" si="15"/>
        <v>763.9999999999992</v>
      </c>
      <c r="K93" s="52">
        <f t="shared" si="16"/>
        <v>28.58</v>
      </c>
      <c r="L93" s="130">
        <f t="shared" si="18"/>
        <v>2257.8199999999974</v>
      </c>
      <c r="M93" s="150"/>
      <c r="N93" s="232">
        <f t="shared" si="20"/>
        <v>28.58</v>
      </c>
      <c r="O93" s="229">
        <f t="shared" si="21"/>
        <v>2247.7159999999976</v>
      </c>
      <c r="P93" s="150"/>
      <c r="Q93" s="129">
        <v>2104</v>
      </c>
      <c r="R93" s="327">
        <f t="shared" si="19"/>
        <v>0</v>
      </c>
      <c r="S93" s="13"/>
      <c r="T93" s="13"/>
    </row>
    <row r="94" spans="1:20" s="51" customFormat="1" ht="15" customHeight="1">
      <c r="A94" s="13"/>
      <c r="B94" s="129">
        <v>2105</v>
      </c>
      <c r="C94" s="116">
        <f t="shared" si="13"/>
        <v>9.8410439511569109E-3</v>
      </c>
      <c r="D94" s="117">
        <f t="shared" si="14"/>
        <v>157402</v>
      </c>
      <c r="E94" s="117">
        <f t="shared" si="17"/>
        <v>1549</v>
      </c>
      <c r="F94" s="117">
        <v>934</v>
      </c>
      <c r="G94" s="118">
        <v>19.03</v>
      </c>
      <c r="H94" s="118">
        <v>9.5500000000000007</v>
      </c>
      <c r="I94" s="118">
        <f t="shared" ref="I94:J109" si="22">+G94+I93</f>
        <v>1541.4299999999982</v>
      </c>
      <c r="J94" s="118">
        <f t="shared" si="22"/>
        <v>773.54999999999916</v>
      </c>
      <c r="K94" s="52">
        <f t="shared" si="16"/>
        <v>28.58</v>
      </c>
      <c r="L94" s="130">
        <f t="shared" si="18"/>
        <v>2286.3999999999974</v>
      </c>
      <c r="M94" s="150"/>
      <c r="N94" s="232">
        <f t="shared" si="20"/>
        <v>28.58</v>
      </c>
      <c r="O94" s="229">
        <f t="shared" si="21"/>
        <v>2276.2959999999975</v>
      </c>
      <c r="P94" s="150"/>
      <c r="Q94" s="129">
        <v>2105</v>
      </c>
      <c r="R94" s="327">
        <f t="shared" si="19"/>
        <v>0</v>
      </c>
      <c r="S94" s="13"/>
      <c r="T94" s="13"/>
    </row>
    <row r="95" spans="1:20" s="51" customFormat="1" ht="15" customHeight="1">
      <c r="A95" s="13"/>
      <c r="B95" s="129">
        <v>2106</v>
      </c>
      <c r="C95" s="116">
        <f t="shared" si="13"/>
        <v>9.745141584513466E-3</v>
      </c>
      <c r="D95" s="117">
        <f t="shared" si="14"/>
        <v>158951</v>
      </c>
      <c r="E95" s="117">
        <f t="shared" si="17"/>
        <v>1549</v>
      </c>
      <c r="F95" s="117">
        <v>934</v>
      </c>
      <c r="G95" s="118">
        <v>19.03</v>
      </c>
      <c r="H95" s="118">
        <v>9.5500000000000007</v>
      </c>
      <c r="I95" s="118">
        <f t="shared" si="22"/>
        <v>1560.4599999999982</v>
      </c>
      <c r="J95" s="118">
        <f t="shared" si="22"/>
        <v>783.09999999999911</v>
      </c>
      <c r="K95" s="52">
        <f t="shared" si="16"/>
        <v>28.58</v>
      </c>
      <c r="L95" s="130">
        <f t="shared" si="18"/>
        <v>2314.9799999999973</v>
      </c>
      <c r="M95" s="150"/>
      <c r="N95" s="232">
        <f t="shared" si="20"/>
        <v>28.58</v>
      </c>
      <c r="O95" s="229">
        <f t="shared" si="21"/>
        <v>2304.8759999999975</v>
      </c>
      <c r="P95" s="150"/>
      <c r="Q95" s="129">
        <v>2106</v>
      </c>
      <c r="R95" s="327">
        <f t="shared" si="19"/>
        <v>0</v>
      </c>
      <c r="S95" s="13"/>
      <c r="T95" s="13"/>
    </row>
    <row r="96" spans="1:20" s="51" customFormat="1" ht="15" customHeight="1">
      <c r="A96" s="13"/>
      <c r="B96" s="129">
        <v>2107</v>
      </c>
      <c r="C96" s="116">
        <f t="shared" si="13"/>
        <v>9.6510903426791275E-3</v>
      </c>
      <c r="D96" s="117">
        <f t="shared" si="14"/>
        <v>160500</v>
      </c>
      <c r="E96" s="117">
        <f t="shared" si="17"/>
        <v>1549</v>
      </c>
      <c r="F96" s="117">
        <v>934</v>
      </c>
      <c r="G96" s="118">
        <v>19.03</v>
      </c>
      <c r="H96" s="118">
        <v>9.5500000000000007</v>
      </c>
      <c r="I96" s="118">
        <f t="shared" si="22"/>
        <v>1579.4899999999982</v>
      </c>
      <c r="J96" s="118">
        <f t="shared" si="22"/>
        <v>792.64999999999907</v>
      </c>
      <c r="K96" s="52">
        <f t="shared" si="16"/>
        <v>28.58</v>
      </c>
      <c r="L96" s="130">
        <f t="shared" si="18"/>
        <v>2343.5599999999972</v>
      </c>
      <c r="M96" s="150"/>
      <c r="N96" s="232">
        <f t="shared" si="20"/>
        <v>28.58</v>
      </c>
      <c r="O96" s="229">
        <f t="shared" si="21"/>
        <v>2333.4559999999974</v>
      </c>
      <c r="P96" s="150"/>
      <c r="Q96" s="129">
        <v>2107</v>
      </c>
      <c r="R96" s="327">
        <f t="shared" si="19"/>
        <v>0</v>
      </c>
      <c r="S96" s="13"/>
      <c r="T96" s="13"/>
    </row>
    <row r="97" spans="1:20" s="51" customFormat="1" ht="15" customHeight="1">
      <c r="A97" s="13"/>
      <c r="B97" s="129">
        <v>2108</v>
      </c>
      <c r="C97" s="116">
        <f t="shared" si="13"/>
        <v>9.5588371418521556E-3</v>
      </c>
      <c r="D97" s="117">
        <f t="shared" si="14"/>
        <v>162049</v>
      </c>
      <c r="E97" s="117">
        <f t="shared" si="17"/>
        <v>1549</v>
      </c>
      <c r="F97" s="117">
        <v>934</v>
      </c>
      <c r="G97" s="118">
        <v>19.03</v>
      </c>
      <c r="H97" s="118">
        <v>9.5500000000000007</v>
      </c>
      <c r="I97" s="118">
        <f t="shared" si="22"/>
        <v>1598.5199999999982</v>
      </c>
      <c r="J97" s="118">
        <f t="shared" si="22"/>
        <v>802.19999999999902</v>
      </c>
      <c r="K97" s="52">
        <f t="shared" si="16"/>
        <v>28.58</v>
      </c>
      <c r="L97" s="130">
        <f t="shared" si="18"/>
        <v>2372.1399999999971</v>
      </c>
      <c r="M97" s="150"/>
      <c r="N97" s="232">
        <f t="shared" si="20"/>
        <v>28.58</v>
      </c>
      <c r="O97" s="229">
        <f t="shared" si="21"/>
        <v>2362.0359999999973</v>
      </c>
      <c r="P97" s="150"/>
      <c r="Q97" s="129">
        <v>2108</v>
      </c>
      <c r="R97" s="327">
        <f t="shared" si="19"/>
        <v>0</v>
      </c>
      <c r="S97" s="13"/>
      <c r="T97" s="13"/>
    </row>
    <row r="98" spans="1:20" s="51" customFormat="1" ht="15" customHeight="1">
      <c r="A98" s="13"/>
      <c r="B98" s="129">
        <v>2109</v>
      </c>
      <c r="C98" s="116">
        <f t="shared" si="13"/>
        <v>9.4683309086908158E-3</v>
      </c>
      <c r="D98" s="117">
        <f t="shared" si="14"/>
        <v>163598</v>
      </c>
      <c r="E98" s="117">
        <f t="shared" si="17"/>
        <v>1549</v>
      </c>
      <c r="F98" s="117">
        <v>934</v>
      </c>
      <c r="G98" s="118">
        <v>19.03</v>
      </c>
      <c r="H98" s="118">
        <v>9.5500000000000007</v>
      </c>
      <c r="I98" s="118">
        <f t="shared" si="22"/>
        <v>1617.5499999999981</v>
      </c>
      <c r="J98" s="118">
        <f t="shared" si="22"/>
        <v>811.74999999999898</v>
      </c>
      <c r="K98" s="52">
        <f t="shared" si="16"/>
        <v>28.58</v>
      </c>
      <c r="L98" s="130">
        <f t="shared" si="18"/>
        <v>2400.7199999999971</v>
      </c>
      <c r="M98" s="150"/>
      <c r="N98" s="232">
        <f t="shared" si="20"/>
        <v>28.58</v>
      </c>
      <c r="O98" s="229">
        <f t="shared" si="21"/>
        <v>2390.6159999999973</v>
      </c>
      <c r="P98" s="150"/>
      <c r="Q98" s="129">
        <v>2109</v>
      </c>
      <c r="R98" s="327">
        <f t="shared" si="19"/>
        <v>0</v>
      </c>
      <c r="S98" s="13"/>
      <c r="T98" s="13"/>
    </row>
    <row r="99" spans="1:20" s="51" customFormat="1" ht="15" customHeight="1">
      <c r="A99" s="13"/>
      <c r="B99" s="129">
        <v>2110</v>
      </c>
      <c r="C99" s="116">
        <f t="shared" si="13"/>
        <v>9.3795224860275996E-3</v>
      </c>
      <c r="D99" s="117">
        <f t="shared" si="14"/>
        <v>165147</v>
      </c>
      <c r="E99" s="117">
        <f t="shared" si="17"/>
        <v>1549</v>
      </c>
      <c r="F99" s="117">
        <v>934</v>
      </c>
      <c r="G99" s="118">
        <v>19.03</v>
      </c>
      <c r="H99" s="118">
        <v>9.5500000000000007</v>
      </c>
      <c r="I99" s="118">
        <f t="shared" si="22"/>
        <v>1636.5799999999981</v>
      </c>
      <c r="J99" s="118">
        <f t="shared" si="22"/>
        <v>821.29999999999893</v>
      </c>
      <c r="K99" s="52">
        <f t="shared" si="16"/>
        <v>28.58</v>
      </c>
      <c r="L99" s="130">
        <f t="shared" si="18"/>
        <v>2429.299999999997</v>
      </c>
      <c r="M99" s="150"/>
      <c r="N99" s="232">
        <f t="shared" si="20"/>
        <v>28.58</v>
      </c>
      <c r="O99" s="229">
        <f t="shared" si="21"/>
        <v>2419.1959999999972</v>
      </c>
      <c r="P99" s="150"/>
      <c r="Q99" s="129">
        <v>2110</v>
      </c>
      <c r="R99" s="327">
        <f t="shared" si="19"/>
        <v>0</v>
      </c>
      <c r="S99" s="13"/>
      <c r="T99" s="13"/>
    </row>
    <row r="100" spans="1:20" s="51" customFormat="1" ht="15" customHeight="1">
      <c r="A100" s="13"/>
      <c r="B100" s="129">
        <v>2111</v>
      </c>
      <c r="C100" s="116">
        <f t="shared" si="13"/>
        <v>9.2923645438402844E-3</v>
      </c>
      <c r="D100" s="117">
        <f t="shared" si="14"/>
        <v>166696</v>
      </c>
      <c r="E100" s="117">
        <f t="shared" si="17"/>
        <v>1549</v>
      </c>
      <c r="F100" s="117">
        <v>934</v>
      </c>
      <c r="G100" s="118">
        <v>19.03</v>
      </c>
      <c r="H100" s="118">
        <v>9.5500000000000007</v>
      </c>
      <c r="I100" s="118">
        <f t="shared" si="22"/>
        <v>1655.6099999999981</v>
      </c>
      <c r="J100" s="118">
        <f t="shared" si="22"/>
        <v>830.84999999999889</v>
      </c>
      <c r="K100" s="52">
        <f t="shared" si="16"/>
        <v>28.58</v>
      </c>
      <c r="L100" s="130">
        <f t="shared" si="18"/>
        <v>2457.8799999999969</v>
      </c>
      <c r="M100" s="150"/>
      <c r="N100" s="232">
        <f t="shared" si="20"/>
        <v>28.58</v>
      </c>
      <c r="O100" s="229">
        <f t="shared" si="21"/>
        <v>2447.7759999999971</v>
      </c>
      <c r="P100" s="150"/>
      <c r="Q100" s="129">
        <v>2111</v>
      </c>
      <c r="R100" s="327">
        <f t="shared" si="19"/>
        <v>0</v>
      </c>
      <c r="S100" s="13"/>
      <c r="T100" s="13"/>
    </row>
    <row r="101" spans="1:20" s="51" customFormat="1" ht="15" customHeight="1">
      <c r="A101" s="13"/>
      <c r="B101" s="129">
        <v>2112</v>
      </c>
      <c r="C101" s="116">
        <f t="shared" si="13"/>
        <v>9.2068114951410138E-3</v>
      </c>
      <c r="D101" s="117">
        <f t="shared" si="14"/>
        <v>168245</v>
      </c>
      <c r="E101" s="117">
        <f t="shared" si="17"/>
        <v>1549</v>
      </c>
      <c r="F101" s="117">
        <v>934</v>
      </c>
      <c r="G101" s="118">
        <v>19.03</v>
      </c>
      <c r="H101" s="118">
        <v>9.5500000000000007</v>
      </c>
      <c r="I101" s="118">
        <f t="shared" si="22"/>
        <v>1674.6399999999981</v>
      </c>
      <c r="J101" s="118">
        <f t="shared" si="22"/>
        <v>840.39999999999884</v>
      </c>
      <c r="K101" s="52">
        <f t="shared" si="16"/>
        <v>28.58</v>
      </c>
      <c r="L101" s="130">
        <f t="shared" si="18"/>
        <v>2486.4599999999969</v>
      </c>
      <c r="M101" s="150"/>
      <c r="N101" s="232">
        <f t="shared" si="20"/>
        <v>28.58</v>
      </c>
      <c r="O101" s="229">
        <f t="shared" si="21"/>
        <v>2476.355999999997</v>
      </c>
      <c r="P101" s="150"/>
      <c r="Q101" s="129">
        <v>2112</v>
      </c>
      <c r="R101" s="327">
        <f t="shared" si="19"/>
        <v>0</v>
      </c>
      <c r="S101" s="13"/>
      <c r="T101" s="13"/>
    </row>
    <row r="102" spans="1:20" s="51" customFormat="1" ht="15" customHeight="1">
      <c r="A102" s="13"/>
      <c r="B102" s="129">
        <v>2113</v>
      </c>
      <c r="C102" s="116">
        <f t="shared" si="13"/>
        <v>9.1228194164693684E-3</v>
      </c>
      <c r="D102" s="117">
        <f t="shared" si="14"/>
        <v>169794</v>
      </c>
      <c r="E102" s="117">
        <f t="shared" si="17"/>
        <v>1549</v>
      </c>
      <c r="F102" s="117">
        <v>934</v>
      </c>
      <c r="G102" s="118">
        <v>19.03</v>
      </c>
      <c r="H102" s="118">
        <v>9.5500000000000007</v>
      </c>
      <c r="I102" s="118">
        <f t="shared" si="22"/>
        <v>1693.669999999998</v>
      </c>
      <c r="J102" s="118">
        <f t="shared" si="22"/>
        <v>849.94999999999879</v>
      </c>
      <c r="K102" s="52">
        <f t="shared" si="16"/>
        <v>28.58</v>
      </c>
      <c r="L102" s="130">
        <f t="shared" si="18"/>
        <v>2515.0399999999968</v>
      </c>
      <c r="M102" s="150"/>
      <c r="N102" s="232">
        <f t="shared" si="20"/>
        <v>28.58</v>
      </c>
      <c r="O102" s="229">
        <f t="shared" si="21"/>
        <v>2504.935999999997</v>
      </c>
      <c r="P102" s="150"/>
      <c r="Q102" s="129">
        <v>2113</v>
      </c>
      <c r="R102" s="327">
        <f t="shared" si="19"/>
        <v>0</v>
      </c>
      <c r="S102" s="13"/>
      <c r="T102" s="13"/>
    </row>
    <row r="103" spans="1:20" s="51" customFormat="1" ht="15" customHeight="1">
      <c r="A103" s="13"/>
      <c r="B103" s="129">
        <v>2114</v>
      </c>
      <c r="C103" s="116">
        <f t="shared" si="13"/>
        <v>9.0403459726980384E-3</v>
      </c>
      <c r="D103" s="117">
        <f t="shared" si="14"/>
        <v>171343</v>
      </c>
      <c r="E103" s="117">
        <f t="shared" si="17"/>
        <v>1549</v>
      </c>
      <c r="F103" s="117">
        <v>934</v>
      </c>
      <c r="G103" s="118">
        <v>19.03</v>
      </c>
      <c r="H103" s="118">
        <v>9.5500000000000007</v>
      </c>
      <c r="I103" s="118">
        <f t="shared" si="22"/>
        <v>1712.699999999998</v>
      </c>
      <c r="J103" s="118">
        <f t="shared" si="22"/>
        <v>859.49999999999875</v>
      </c>
      <c r="K103" s="52">
        <f t="shared" si="16"/>
        <v>28.58</v>
      </c>
      <c r="L103" s="130">
        <f t="shared" si="18"/>
        <v>2543.6199999999967</v>
      </c>
      <c r="M103" s="150"/>
      <c r="N103" s="232">
        <f t="shared" si="20"/>
        <v>28.58</v>
      </c>
      <c r="O103" s="229">
        <f t="shared" si="21"/>
        <v>2533.5159999999969</v>
      </c>
      <c r="P103" s="150"/>
      <c r="Q103" s="129">
        <v>2114</v>
      </c>
      <c r="R103" s="327">
        <f t="shared" si="19"/>
        <v>0</v>
      </c>
      <c r="S103" s="13"/>
      <c r="T103" s="13"/>
    </row>
    <row r="104" spans="1:20" s="51" customFormat="1" ht="15" customHeight="1">
      <c r="A104" s="13"/>
      <c r="B104" s="129">
        <v>2115</v>
      </c>
      <c r="C104" s="116">
        <f t="shared" si="13"/>
        <v>8.9593503458806657E-3</v>
      </c>
      <c r="D104" s="117">
        <f t="shared" si="14"/>
        <v>172892</v>
      </c>
      <c r="E104" s="117">
        <f t="shared" si="17"/>
        <v>1549</v>
      </c>
      <c r="F104" s="117">
        <v>934</v>
      </c>
      <c r="G104" s="118">
        <v>19.03</v>
      </c>
      <c r="H104" s="118">
        <v>9.5500000000000007</v>
      </c>
      <c r="I104" s="118">
        <f t="shared" si="22"/>
        <v>1731.729999999998</v>
      </c>
      <c r="J104" s="118">
        <f t="shared" si="22"/>
        <v>869.0499999999987</v>
      </c>
      <c r="K104" s="52">
        <f t="shared" si="16"/>
        <v>28.58</v>
      </c>
      <c r="L104" s="130">
        <f t="shared" si="18"/>
        <v>2572.1999999999966</v>
      </c>
      <c r="M104" s="150"/>
      <c r="N104" s="232">
        <f t="shared" si="20"/>
        <v>28.58</v>
      </c>
      <c r="O104" s="229">
        <f t="shared" si="21"/>
        <v>2562.0959999999968</v>
      </c>
      <c r="P104" s="150"/>
      <c r="Q104" s="129">
        <v>2115</v>
      </c>
      <c r="R104" s="327">
        <f t="shared" si="19"/>
        <v>0</v>
      </c>
      <c r="S104" s="13"/>
      <c r="T104" s="13"/>
    </row>
    <row r="105" spans="1:20" s="51" customFormat="1" ht="15" customHeight="1">
      <c r="A105" s="13"/>
      <c r="B105" s="129">
        <v>2116</v>
      </c>
      <c r="C105" s="116">
        <f t="shared" si="13"/>
        <v>8.8797931678905768E-3</v>
      </c>
      <c r="D105" s="117">
        <f t="shared" si="14"/>
        <v>174441</v>
      </c>
      <c r="E105" s="117">
        <f t="shared" si="17"/>
        <v>1549</v>
      </c>
      <c r="F105" s="117">
        <v>934</v>
      </c>
      <c r="G105" s="118">
        <v>19.03</v>
      </c>
      <c r="H105" s="118">
        <v>9.5500000000000007</v>
      </c>
      <c r="I105" s="118">
        <f t="shared" si="22"/>
        <v>1750.7599999999979</v>
      </c>
      <c r="J105" s="118">
        <f t="shared" si="22"/>
        <v>878.59999999999866</v>
      </c>
      <c r="K105" s="52">
        <f t="shared" si="16"/>
        <v>28.58</v>
      </c>
      <c r="L105" s="130">
        <f t="shared" si="18"/>
        <v>2600.7799999999966</v>
      </c>
      <c r="M105" s="150"/>
      <c r="N105" s="232">
        <f t="shared" si="20"/>
        <v>28.58</v>
      </c>
      <c r="O105" s="229">
        <f t="shared" si="21"/>
        <v>2590.6759999999967</v>
      </c>
      <c r="P105" s="150"/>
      <c r="Q105" s="129">
        <v>2116</v>
      </c>
      <c r="R105" s="327">
        <f t="shared" si="19"/>
        <v>0</v>
      </c>
      <c r="S105" s="13"/>
      <c r="T105" s="13"/>
    </row>
    <row r="106" spans="1:20" s="51" customFormat="1" ht="15" customHeight="1">
      <c r="A106" s="13"/>
      <c r="B106" s="129">
        <v>2117</v>
      </c>
      <c r="C106" s="116">
        <f t="shared" si="13"/>
        <v>8.8016364566168535E-3</v>
      </c>
      <c r="D106" s="117">
        <f t="shared" si="14"/>
        <v>175990</v>
      </c>
      <c r="E106" s="117">
        <f t="shared" si="17"/>
        <v>1549</v>
      </c>
      <c r="F106" s="117">
        <v>934</v>
      </c>
      <c r="G106" s="118">
        <v>19.03</v>
      </c>
      <c r="H106" s="118">
        <v>9.5500000000000007</v>
      </c>
      <c r="I106" s="118">
        <f t="shared" si="22"/>
        <v>1769.7899999999979</v>
      </c>
      <c r="J106" s="118">
        <f t="shared" si="22"/>
        <v>888.14999999999861</v>
      </c>
      <c r="K106" s="52">
        <f t="shared" si="16"/>
        <v>28.58</v>
      </c>
      <c r="L106" s="130">
        <f t="shared" si="18"/>
        <v>2629.3599999999965</v>
      </c>
      <c r="M106" s="150"/>
      <c r="N106" s="232">
        <f t="shared" si="20"/>
        <v>28.58</v>
      </c>
      <c r="O106" s="229">
        <f t="shared" si="21"/>
        <v>2619.2559999999967</v>
      </c>
      <c r="P106" s="150"/>
      <c r="Q106" s="129">
        <v>2117</v>
      </c>
      <c r="R106" s="327">
        <f t="shared" si="19"/>
        <v>0</v>
      </c>
      <c r="S106" s="13"/>
      <c r="T106" s="13"/>
    </row>
    <row r="107" spans="1:20" s="51" customFormat="1" ht="15" customHeight="1">
      <c r="A107" s="13"/>
      <c r="B107" s="129">
        <v>2118</v>
      </c>
      <c r="C107" s="116">
        <f t="shared" si="13"/>
        <v>8.7248435555004819E-3</v>
      </c>
      <c r="D107" s="117">
        <f t="shared" si="14"/>
        <v>177539</v>
      </c>
      <c r="E107" s="117">
        <f t="shared" si="17"/>
        <v>1549</v>
      </c>
      <c r="F107" s="117">
        <v>934</v>
      </c>
      <c r="G107" s="118">
        <v>19.03</v>
      </c>
      <c r="H107" s="118">
        <v>9.5500000000000007</v>
      </c>
      <c r="I107" s="118">
        <f t="shared" si="22"/>
        <v>1788.8199999999979</v>
      </c>
      <c r="J107" s="118">
        <f t="shared" si="22"/>
        <v>897.69999999999857</v>
      </c>
      <c r="K107" s="52">
        <f t="shared" si="16"/>
        <v>28.58</v>
      </c>
      <c r="L107" s="130">
        <f t="shared" si="18"/>
        <v>2657.9399999999964</v>
      </c>
      <c r="M107" s="150"/>
      <c r="N107" s="232">
        <f t="shared" si="20"/>
        <v>28.58</v>
      </c>
      <c r="O107" s="229">
        <f t="shared" si="21"/>
        <v>2647.8359999999966</v>
      </c>
      <c r="P107" s="150"/>
      <c r="Q107" s="129">
        <v>2118</v>
      </c>
      <c r="R107" s="327">
        <f t="shared" si="19"/>
        <v>0</v>
      </c>
      <c r="S107" s="13"/>
      <c r="T107" s="13"/>
    </row>
    <row r="108" spans="1:20" s="51" customFormat="1" ht="15" customHeight="1">
      <c r="A108" s="13"/>
      <c r="B108" s="129">
        <v>2119</v>
      </c>
      <c r="C108" s="116">
        <f t="shared" si="13"/>
        <v>8.6493790762083439E-3</v>
      </c>
      <c r="D108" s="117">
        <f t="shared" si="14"/>
        <v>179088</v>
      </c>
      <c r="E108" s="117">
        <f t="shared" si="17"/>
        <v>1549</v>
      </c>
      <c r="F108" s="117">
        <v>934</v>
      </c>
      <c r="G108" s="118">
        <v>19.03</v>
      </c>
      <c r="H108" s="118">
        <v>9.5500000000000007</v>
      </c>
      <c r="I108" s="118">
        <f t="shared" si="22"/>
        <v>1807.8499999999979</v>
      </c>
      <c r="J108" s="118">
        <f t="shared" si="22"/>
        <v>907.24999999999852</v>
      </c>
      <c r="K108" s="52">
        <f t="shared" si="16"/>
        <v>28.58</v>
      </c>
      <c r="L108" s="130">
        <f t="shared" si="18"/>
        <v>2686.5199999999963</v>
      </c>
      <c r="M108" s="150"/>
      <c r="N108" s="232">
        <f t="shared" si="20"/>
        <v>28.58</v>
      </c>
      <c r="O108" s="229">
        <f t="shared" si="21"/>
        <v>2676.4159999999965</v>
      </c>
      <c r="P108" s="150"/>
      <c r="Q108" s="129">
        <v>2119</v>
      </c>
      <c r="R108" s="327">
        <f t="shared" si="19"/>
        <v>0</v>
      </c>
      <c r="S108" s="13"/>
      <c r="T108" s="13"/>
    </row>
    <row r="109" spans="1:20" s="51" customFormat="1" ht="15" customHeight="1">
      <c r="A109" s="13"/>
      <c r="B109" s="129">
        <v>2120</v>
      </c>
      <c r="C109" s="116">
        <f t="shared" si="13"/>
        <v>8.575208844256714E-3</v>
      </c>
      <c r="D109" s="117">
        <f t="shared" si="14"/>
        <v>180637</v>
      </c>
      <c r="E109" s="117">
        <f t="shared" si="17"/>
        <v>1549</v>
      </c>
      <c r="F109" s="117">
        <v>934</v>
      </c>
      <c r="G109" s="118">
        <v>19.03</v>
      </c>
      <c r="H109" s="118">
        <v>9.5500000000000007</v>
      </c>
      <c r="I109" s="118">
        <f t="shared" si="22"/>
        <v>1826.8799999999978</v>
      </c>
      <c r="J109" s="118">
        <f t="shared" si="22"/>
        <v>916.79999999999848</v>
      </c>
      <c r="K109" s="52">
        <f t="shared" si="16"/>
        <v>28.58</v>
      </c>
      <c r="L109" s="130">
        <f t="shared" si="18"/>
        <v>2715.0999999999963</v>
      </c>
      <c r="M109" s="150"/>
      <c r="N109" s="232">
        <f t="shared" si="20"/>
        <v>28.58</v>
      </c>
      <c r="O109" s="229">
        <f t="shared" si="21"/>
        <v>2704.9959999999965</v>
      </c>
      <c r="P109" s="150"/>
      <c r="Q109" s="129">
        <v>2120</v>
      </c>
      <c r="R109" s="327">
        <f t="shared" si="19"/>
        <v>0</v>
      </c>
      <c r="S109" s="13"/>
      <c r="T109" s="13"/>
    </row>
    <row r="110" spans="1:20" s="51" customFormat="1" ht="15" customHeight="1">
      <c r="A110" s="13"/>
      <c r="B110" s="129">
        <v>2121</v>
      </c>
      <c r="C110" s="116">
        <f t="shared" si="13"/>
        <v>8.5022998474086914E-3</v>
      </c>
      <c r="D110" s="117">
        <f t="shared" si="14"/>
        <v>182186</v>
      </c>
      <c r="E110" s="117">
        <f t="shared" si="17"/>
        <v>1549</v>
      </c>
      <c r="F110" s="117">
        <v>934</v>
      </c>
      <c r="G110" s="118">
        <v>19.03</v>
      </c>
      <c r="H110" s="118">
        <v>9.5500000000000007</v>
      </c>
      <c r="I110" s="118">
        <f t="shared" ref="I110:J124" si="23">+G110+I109</f>
        <v>1845.9099999999978</v>
      </c>
      <c r="J110" s="118">
        <f t="shared" si="23"/>
        <v>926.34999999999843</v>
      </c>
      <c r="K110" s="52">
        <f t="shared" si="16"/>
        <v>28.58</v>
      </c>
      <c r="L110" s="130">
        <f t="shared" si="18"/>
        <v>2743.6799999999962</v>
      </c>
      <c r="M110" s="150"/>
      <c r="N110" s="232">
        <f t="shared" si="20"/>
        <v>28.58</v>
      </c>
      <c r="O110" s="229">
        <f t="shared" si="21"/>
        <v>2733.5759999999964</v>
      </c>
      <c r="P110" s="150"/>
      <c r="Q110" s="129">
        <v>2121</v>
      </c>
      <c r="R110" s="327">
        <f t="shared" si="19"/>
        <v>0</v>
      </c>
      <c r="S110" s="13"/>
      <c r="T110" s="13"/>
    </row>
    <row r="111" spans="1:20" s="51" customFormat="1" ht="15" customHeight="1">
      <c r="A111" s="13"/>
      <c r="B111" s="129">
        <v>2122</v>
      </c>
      <c r="C111" s="116">
        <f t="shared" si="13"/>
        <v>8.4306201866819058E-3</v>
      </c>
      <c r="D111" s="117">
        <f t="shared" si="14"/>
        <v>183735</v>
      </c>
      <c r="E111" s="117">
        <f t="shared" si="17"/>
        <v>1549</v>
      </c>
      <c r="F111" s="117">
        <v>934</v>
      </c>
      <c r="G111" s="118">
        <v>19.03</v>
      </c>
      <c r="H111" s="118">
        <v>9.5500000000000007</v>
      </c>
      <c r="I111" s="118">
        <f t="shared" si="23"/>
        <v>1864.9399999999978</v>
      </c>
      <c r="J111" s="118">
        <f t="shared" si="23"/>
        <v>935.89999999999839</v>
      </c>
      <c r="K111" s="52">
        <f t="shared" si="16"/>
        <v>28.58</v>
      </c>
      <c r="L111" s="130">
        <f t="shared" si="18"/>
        <v>2772.2599999999961</v>
      </c>
      <c r="M111" s="150"/>
      <c r="N111" s="232">
        <f t="shared" si="20"/>
        <v>28.58</v>
      </c>
      <c r="O111" s="229">
        <f t="shared" si="21"/>
        <v>2762.1559999999963</v>
      </c>
      <c r="P111" s="150"/>
      <c r="Q111" s="129">
        <v>2122</v>
      </c>
      <c r="R111" s="327">
        <f t="shared" si="19"/>
        <v>0</v>
      </c>
      <c r="S111" s="13"/>
      <c r="T111" s="13"/>
    </row>
    <row r="112" spans="1:20" s="51" customFormat="1" ht="15" customHeight="1">
      <c r="A112" s="13"/>
      <c r="B112" s="129">
        <v>2123</v>
      </c>
      <c r="C112" s="116">
        <f t="shared" si="13"/>
        <v>8.3601390298136923E-3</v>
      </c>
      <c r="D112" s="117">
        <f t="shared" si="14"/>
        <v>185284</v>
      </c>
      <c r="E112" s="117">
        <f t="shared" si="17"/>
        <v>1549</v>
      </c>
      <c r="F112" s="117">
        <v>934</v>
      </c>
      <c r="G112" s="118">
        <v>19.03</v>
      </c>
      <c r="H112" s="118">
        <v>9.5500000000000007</v>
      </c>
      <c r="I112" s="118">
        <f t="shared" si="23"/>
        <v>1883.9699999999978</v>
      </c>
      <c r="J112" s="118">
        <f t="shared" si="23"/>
        <v>945.44999999999834</v>
      </c>
      <c r="K112" s="52">
        <f t="shared" si="16"/>
        <v>28.58</v>
      </c>
      <c r="L112" s="130">
        <f t="shared" si="18"/>
        <v>2800.8399999999961</v>
      </c>
      <c r="M112" s="150"/>
      <c r="N112" s="232">
        <f t="shared" si="20"/>
        <v>28.58</v>
      </c>
      <c r="O112" s="229">
        <f t="shared" si="21"/>
        <v>2790.7359999999962</v>
      </c>
      <c r="P112" s="150"/>
      <c r="Q112" s="129">
        <v>2123</v>
      </c>
      <c r="R112" s="327">
        <f t="shared" si="19"/>
        <v>0</v>
      </c>
      <c r="S112" s="13"/>
      <c r="T112" s="13"/>
    </row>
    <row r="113" spans="1:20" s="51" customFormat="1" ht="15" customHeight="1">
      <c r="A113" s="13"/>
      <c r="B113" s="129">
        <v>2124</v>
      </c>
      <c r="C113" s="116">
        <f t="shared" si="13"/>
        <v>8.2908265670411548E-3</v>
      </c>
      <c r="D113" s="117">
        <f t="shared" si="14"/>
        <v>186833</v>
      </c>
      <c r="E113" s="117">
        <f t="shared" si="17"/>
        <v>1549</v>
      </c>
      <c r="F113" s="117">
        <v>934</v>
      </c>
      <c r="G113" s="118">
        <v>19.03</v>
      </c>
      <c r="H113" s="118">
        <v>9.5500000000000007</v>
      </c>
      <c r="I113" s="118">
        <f t="shared" si="23"/>
        <v>1902.9999999999977</v>
      </c>
      <c r="J113" s="118">
        <f t="shared" si="23"/>
        <v>954.99999999999829</v>
      </c>
      <c r="K113" s="52">
        <f t="shared" si="16"/>
        <v>28.58</v>
      </c>
      <c r="L113" s="130">
        <f t="shared" si="18"/>
        <v>2829.419999999996</v>
      </c>
      <c r="M113" s="150"/>
      <c r="N113" s="232">
        <f t="shared" si="20"/>
        <v>28.58</v>
      </c>
      <c r="O113" s="229">
        <f t="shared" si="21"/>
        <v>2819.3159999999962</v>
      </c>
      <c r="P113" s="150"/>
      <c r="Q113" s="129">
        <v>2124</v>
      </c>
      <c r="R113" s="327">
        <f t="shared" si="19"/>
        <v>0</v>
      </c>
      <c r="S113" s="13"/>
      <c r="T113" s="13"/>
    </row>
    <row r="114" spans="1:20" s="51" customFormat="1" ht="15" customHeight="1">
      <c r="A114" s="13"/>
      <c r="B114" s="129">
        <v>2125</v>
      </c>
      <c r="C114" s="116">
        <f t="shared" si="13"/>
        <v>8.2226539690628611E-3</v>
      </c>
      <c r="D114" s="117">
        <f t="shared" si="14"/>
        <v>188382</v>
      </c>
      <c r="E114" s="117">
        <f t="shared" si="17"/>
        <v>1549</v>
      </c>
      <c r="F114" s="117">
        <v>934</v>
      </c>
      <c r="G114" s="118">
        <v>19.03</v>
      </c>
      <c r="H114" s="118">
        <v>9.5500000000000007</v>
      </c>
      <c r="I114" s="118">
        <f t="shared" si="23"/>
        <v>1922.0299999999977</v>
      </c>
      <c r="J114" s="118">
        <f t="shared" si="23"/>
        <v>964.54999999999825</v>
      </c>
      <c r="K114" s="52">
        <f t="shared" si="16"/>
        <v>28.58</v>
      </c>
      <c r="L114" s="130">
        <f t="shared" si="18"/>
        <v>2857.9999999999959</v>
      </c>
      <c r="M114" s="150"/>
      <c r="N114" s="232">
        <f t="shared" si="20"/>
        <v>28.58</v>
      </c>
      <c r="O114" s="229">
        <f t="shared" si="21"/>
        <v>2847.8959999999961</v>
      </c>
      <c r="P114" s="150"/>
      <c r="Q114" s="129">
        <v>2125</v>
      </c>
      <c r="R114" s="327">
        <f t="shared" si="19"/>
        <v>0</v>
      </c>
      <c r="S114" s="13"/>
      <c r="T114" s="13"/>
    </row>
    <row r="115" spans="1:20" s="51" customFormat="1" ht="15" customHeight="1">
      <c r="A115" s="13"/>
      <c r="B115" s="129">
        <v>2126</v>
      </c>
      <c r="C115" s="116">
        <f t="shared" si="13"/>
        <v>8.1555933470576162E-3</v>
      </c>
      <c r="D115" s="117">
        <f t="shared" si="14"/>
        <v>189931</v>
      </c>
      <c r="E115" s="117">
        <f t="shared" si="17"/>
        <v>1549</v>
      </c>
      <c r="F115" s="117">
        <v>934</v>
      </c>
      <c r="G115" s="118">
        <v>19.03</v>
      </c>
      <c r="H115" s="118">
        <v>9.5500000000000007</v>
      </c>
      <c r="I115" s="118">
        <f t="shared" si="23"/>
        <v>1941.0599999999977</v>
      </c>
      <c r="J115" s="118">
        <f t="shared" si="23"/>
        <v>974.0999999999982</v>
      </c>
      <c r="K115" s="52">
        <f t="shared" si="16"/>
        <v>28.58</v>
      </c>
      <c r="L115" s="130">
        <f t="shared" si="18"/>
        <v>2886.5799999999958</v>
      </c>
      <c r="M115" s="150"/>
      <c r="N115" s="232">
        <f t="shared" si="20"/>
        <v>28.58</v>
      </c>
      <c r="O115" s="229">
        <f t="shared" si="21"/>
        <v>2876.475999999996</v>
      </c>
      <c r="P115" s="150"/>
      <c r="Q115" s="129">
        <v>2126</v>
      </c>
      <c r="R115" s="327">
        <f t="shared" si="19"/>
        <v>0</v>
      </c>
      <c r="S115" s="13"/>
      <c r="T115" s="13"/>
    </row>
    <row r="116" spans="1:20" s="51" customFormat="1" ht="15" customHeight="1">
      <c r="A116" s="13"/>
      <c r="B116" s="129">
        <v>2127</v>
      </c>
      <c r="C116" s="116">
        <f t="shared" si="13"/>
        <v>8.0896177146438271E-3</v>
      </c>
      <c r="D116" s="117">
        <f t="shared" si="14"/>
        <v>191480</v>
      </c>
      <c r="E116" s="117">
        <f t="shared" si="17"/>
        <v>1549</v>
      </c>
      <c r="F116" s="117">
        <v>934</v>
      </c>
      <c r="G116" s="118">
        <v>19.03</v>
      </c>
      <c r="H116" s="118">
        <v>9.5500000000000007</v>
      </c>
      <c r="I116" s="118">
        <f t="shared" si="23"/>
        <v>1960.0899999999976</v>
      </c>
      <c r="J116" s="118">
        <f t="shared" si="23"/>
        <v>983.64999999999816</v>
      </c>
      <c r="K116" s="52">
        <f t="shared" si="16"/>
        <v>28.58</v>
      </c>
      <c r="L116" s="130">
        <f t="shared" si="18"/>
        <v>2915.1599999999958</v>
      </c>
      <c r="M116" s="150"/>
      <c r="N116" s="232">
        <f t="shared" si="20"/>
        <v>28.58</v>
      </c>
      <c r="O116" s="229">
        <f t="shared" si="21"/>
        <v>2905.0559999999959</v>
      </c>
      <c r="P116" s="150"/>
      <c r="Q116" s="129">
        <v>2127</v>
      </c>
      <c r="R116" s="327">
        <f t="shared" si="19"/>
        <v>0</v>
      </c>
      <c r="S116" s="13"/>
      <c r="T116" s="13"/>
    </row>
    <row r="117" spans="1:20" s="51" customFormat="1" ht="15" customHeight="1">
      <c r="A117" s="13"/>
      <c r="B117" s="129">
        <v>2128</v>
      </c>
      <c r="C117" s="116">
        <f t="shared" si="13"/>
        <v>8.0247009516704743E-3</v>
      </c>
      <c r="D117" s="117">
        <f t="shared" si="14"/>
        <v>193029</v>
      </c>
      <c r="E117" s="117">
        <f t="shared" si="17"/>
        <v>1549</v>
      </c>
      <c r="F117" s="117">
        <v>934</v>
      </c>
      <c r="G117" s="118">
        <v>19.03</v>
      </c>
      <c r="H117" s="118">
        <v>9.5500000000000007</v>
      </c>
      <c r="I117" s="118">
        <f t="shared" si="23"/>
        <v>1979.1199999999976</v>
      </c>
      <c r="J117" s="118">
        <f t="shared" si="23"/>
        <v>993.19999999999811</v>
      </c>
      <c r="K117" s="52">
        <f t="shared" si="16"/>
        <v>28.58</v>
      </c>
      <c r="L117" s="130">
        <f t="shared" si="18"/>
        <v>2943.7399999999957</v>
      </c>
      <c r="M117" s="150"/>
      <c r="N117" s="232">
        <f t="shared" si="20"/>
        <v>28.58</v>
      </c>
      <c r="O117" s="229">
        <f t="shared" si="21"/>
        <v>2933.6359999999959</v>
      </c>
      <c r="P117" s="150"/>
      <c r="Q117" s="129">
        <v>2128</v>
      </c>
      <c r="R117" s="327">
        <f t="shared" si="19"/>
        <v>0</v>
      </c>
      <c r="S117" s="13"/>
      <c r="T117" s="13"/>
    </row>
    <row r="118" spans="1:20" s="51" customFormat="1" ht="15" customHeight="1">
      <c r="A118" s="13"/>
      <c r="B118" s="129">
        <v>2129</v>
      </c>
      <c r="C118" s="116">
        <f t="shared" si="13"/>
        <v>7.9608177697375864E-3</v>
      </c>
      <c r="D118" s="117">
        <f t="shared" si="14"/>
        <v>194578</v>
      </c>
      <c r="E118" s="117">
        <f t="shared" si="17"/>
        <v>1549</v>
      </c>
      <c r="F118" s="117">
        <v>934</v>
      </c>
      <c r="G118" s="118">
        <v>19.03</v>
      </c>
      <c r="H118" s="118">
        <v>9.5500000000000007</v>
      </c>
      <c r="I118" s="118">
        <f t="shared" si="23"/>
        <v>1998.1499999999976</v>
      </c>
      <c r="J118" s="118">
        <f t="shared" si="23"/>
        <v>1002.7499999999981</v>
      </c>
      <c r="K118" s="52">
        <f t="shared" si="16"/>
        <v>28.58</v>
      </c>
      <c r="L118" s="130">
        <f t="shared" si="18"/>
        <v>2972.3199999999956</v>
      </c>
      <c r="M118" s="150"/>
      <c r="N118" s="232">
        <f t="shared" si="20"/>
        <v>28.58</v>
      </c>
      <c r="O118" s="229">
        <f t="shared" si="21"/>
        <v>2962.2159999999958</v>
      </c>
      <c r="P118" s="150"/>
      <c r="Q118" s="129">
        <v>2129</v>
      </c>
      <c r="R118" s="327">
        <f t="shared" si="19"/>
        <v>0</v>
      </c>
      <c r="S118" s="13"/>
      <c r="T118" s="13"/>
    </row>
    <row r="119" spans="1:20" s="51" customFormat="1" ht="15" customHeight="1">
      <c r="A119" s="13"/>
      <c r="B119" s="129">
        <v>2130</v>
      </c>
      <c r="C119" s="116">
        <f t="shared" si="13"/>
        <v>7.8979436793506254E-3</v>
      </c>
      <c r="D119" s="117">
        <f t="shared" si="14"/>
        <v>196127</v>
      </c>
      <c r="E119" s="117">
        <f t="shared" si="17"/>
        <v>1549</v>
      </c>
      <c r="F119" s="117">
        <v>934</v>
      </c>
      <c r="G119" s="118">
        <v>19.03</v>
      </c>
      <c r="H119" s="118">
        <v>9.5500000000000007</v>
      </c>
      <c r="I119" s="118">
        <f t="shared" si="23"/>
        <v>2017.1799999999976</v>
      </c>
      <c r="J119" s="118">
        <f t="shared" si="23"/>
        <v>1012.299999999998</v>
      </c>
      <c r="K119" s="52">
        <f t="shared" si="16"/>
        <v>28.58</v>
      </c>
      <c r="L119" s="130">
        <f t="shared" si="18"/>
        <v>3000.8999999999955</v>
      </c>
      <c r="M119" s="150"/>
      <c r="N119" s="232">
        <f t="shared" si="20"/>
        <v>28.58</v>
      </c>
      <c r="O119" s="229">
        <f t="shared" si="21"/>
        <v>2990.7959999999957</v>
      </c>
      <c r="P119" s="150"/>
      <c r="Q119" s="129">
        <v>2130</v>
      </c>
      <c r="R119" s="327">
        <f t="shared" si="19"/>
        <v>0</v>
      </c>
      <c r="S119" s="13"/>
      <c r="T119" s="13"/>
    </row>
    <row r="120" spans="1:20" s="51" customFormat="1" ht="15" customHeight="1">
      <c r="A120" s="13"/>
      <c r="B120" s="129">
        <v>2131</v>
      </c>
      <c r="C120" s="116">
        <f t="shared" si="13"/>
        <v>7.8360549586191548E-3</v>
      </c>
      <c r="D120" s="117">
        <f t="shared" si="14"/>
        <v>197676</v>
      </c>
      <c r="E120" s="117">
        <f t="shared" si="17"/>
        <v>1549</v>
      </c>
      <c r="F120" s="117">
        <v>934</v>
      </c>
      <c r="G120" s="118">
        <v>19.03</v>
      </c>
      <c r="H120" s="118">
        <v>9.5500000000000007</v>
      </c>
      <c r="I120" s="118">
        <f t="shared" si="23"/>
        <v>2036.2099999999975</v>
      </c>
      <c r="J120" s="118">
        <f t="shared" si="23"/>
        <v>1021.849999999998</v>
      </c>
      <c r="K120" s="52">
        <f t="shared" si="16"/>
        <v>28.58</v>
      </c>
      <c r="L120" s="130">
        <f t="shared" si="18"/>
        <v>3029.4799999999955</v>
      </c>
      <c r="M120" s="150"/>
      <c r="N120" s="232">
        <f t="shared" si="20"/>
        <v>28.58</v>
      </c>
      <c r="O120" s="229">
        <f t="shared" si="21"/>
        <v>3019.3759999999957</v>
      </c>
      <c r="P120" s="150"/>
      <c r="Q120" s="129">
        <v>2131</v>
      </c>
      <c r="R120" s="327">
        <f t="shared" si="19"/>
        <v>0</v>
      </c>
      <c r="S120" s="13"/>
      <c r="T120" s="13"/>
    </row>
    <row r="121" spans="1:20" s="51" customFormat="1" ht="15" customHeight="1">
      <c r="A121" s="13"/>
      <c r="B121" s="129">
        <v>2132</v>
      </c>
      <c r="C121" s="116">
        <f t="shared" si="13"/>
        <v>7.7751286234157358E-3</v>
      </c>
      <c r="D121" s="117">
        <f t="shared" si="14"/>
        <v>199225</v>
      </c>
      <c r="E121" s="117">
        <f t="shared" si="17"/>
        <v>1549</v>
      </c>
      <c r="F121" s="117">
        <v>934</v>
      </c>
      <c r="G121" s="118">
        <v>19.03</v>
      </c>
      <c r="H121" s="118">
        <v>9.5500000000000007</v>
      </c>
      <c r="I121" s="118">
        <f t="shared" si="23"/>
        <v>2055.2399999999975</v>
      </c>
      <c r="J121" s="118">
        <f t="shared" si="23"/>
        <v>1031.399999999998</v>
      </c>
      <c r="K121" s="52">
        <f t="shared" si="16"/>
        <v>28.58</v>
      </c>
      <c r="L121" s="130">
        <f t="shared" si="18"/>
        <v>3058.0599999999954</v>
      </c>
      <c r="M121" s="150"/>
      <c r="N121" s="232">
        <f t="shared" si="20"/>
        <v>28.58</v>
      </c>
      <c r="O121" s="229">
        <f t="shared" si="21"/>
        <v>3047.9559999999956</v>
      </c>
      <c r="P121" s="150"/>
      <c r="Q121" s="129">
        <v>2132</v>
      </c>
      <c r="R121" s="327">
        <f t="shared" si="19"/>
        <v>0</v>
      </c>
      <c r="S121" s="13"/>
      <c r="T121" s="13"/>
    </row>
    <row r="122" spans="1:20" s="51" customFormat="1" ht="15" customHeight="1">
      <c r="A122" s="13"/>
      <c r="B122" s="129">
        <v>2133</v>
      </c>
      <c r="C122" s="116">
        <f t="shared" si="13"/>
        <v>7.7151423989161947E-3</v>
      </c>
      <c r="D122" s="117">
        <f t="shared" si="14"/>
        <v>200774</v>
      </c>
      <c r="E122" s="117">
        <f t="shared" si="17"/>
        <v>1549</v>
      </c>
      <c r="F122" s="117">
        <v>934</v>
      </c>
      <c r="G122" s="118">
        <v>19.03</v>
      </c>
      <c r="H122" s="118">
        <v>9.5500000000000007</v>
      </c>
      <c r="I122" s="118">
        <f t="shared" si="23"/>
        <v>2074.2699999999977</v>
      </c>
      <c r="J122" s="118">
        <f t="shared" si="23"/>
        <v>1040.949999999998</v>
      </c>
      <c r="K122" s="52">
        <f t="shared" si="16"/>
        <v>28.58</v>
      </c>
      <c r="L122" s="130">
        <f t="shared" si="18"/>
        <v>3086.6399999999953</v>
      </c>
      <c r="M122" s="150"/>
      <c r="N122" s="232">
        <f t="shared" si="20"/>
        <v>28.58</v>
      </c>
      <c r="O122" s="229">
        <f t="shared" si="21"/>
        <v>3076.5359999999955</v>
      </c>
      <c r="P122" s="150"/>
      <c r="Q122" s="129">
        <v>2133</v>
      </c>
      <c r="R122" s="327">
        <f t="shared" si="19"/>
        <v>0</v>
      </c>
      <c r="S122" s="13"/>
      <c r="T122" s="13"/>
    </row>
    <row r="123" spans="1:20" s="51" customFormat="1" ht="15" customHeight="1">
      <c r="A123" s="13"/>
      <c r="B123" s="129">
        <v>2134</v>
      </c>
      <c r="C123" s="116">
        <f t="shared" si="13"/>
        <v>7.6560746924472251E-3</v>
      </c>
      <c r="D123" s="117">
        <f t="shared" si="14"/>
        <v>202323</v>
      </c>
      <c r="E123" s="117">
        <f t="shared" si="17"/>
        <v>1549</v>
      </c>
      <c r="F123" s="117">
        <v>934</v>
      </c>
      <c r="G123" s="118">
        <v>19.03</v>
      </c>
      <c r="H123" s="118">
        <v>9.5500000000000007</v>
      </c>
      <c r="I123" s="118">
        <f t="shared" si="23"/>
        <v>2093.2999999999979</v>
      </c>
      <c r="J123" s="118">
        <f t="shared" si="23"/>
        <v>1050.499999999998</v>
      </c>
      <c r="K123" s="52">
        <f t="shared" si="16"/>
        <v>28.58</v>
      </c>
      <c r="L123" s="130">
        <f t="shared" si="18"/>
        <v>3115.2199999999953</v>
      </c>
      <c r="M123" s="150"/>
      <c r="N123" s="232">
        <f t="shared" si="20"/>
        <v>28.58</v>
      </c>
      <c r="O123" s="229">
        <f t="shared" si="21"/>
        <v>3105.1159999999954</v>
      </c>
      <c r="P123" s="150"/>
      <c r="Q123" s="129">
        <v>2134</v>
      </c>
      <c r="R123" s="327">
        <f t="shared" si="19"/>
        <v>0</v>
      </c>
      <c r="S123" s="13"/>
      <c r="T123" s="13"/>
    </row>
    <row r="124" spans="1:20" s="51" customFormat="1" ht="15" customHeight="1" thickBot="1">
      <c r="A124" s="13"/>
      <c r="B124" s="156">
        <v>2135</v>
      </c>
      <c r="C124" s="157" t="e">
        <f>(#REF!-D124)/D124</f>
        <v>#REF!</v>
      </c>
      <c r="D124" s="158">
        <f t="shared" si="14"/>
        <v>203872</v>
      </c>
      <c r="E124" s="158">
        <f t="shared" si="17"/>
        <v>1549</v>
      </c>
      <c r="F124" s="158">
        <v>934</v>
      </c>
      <c r="G124" s="159">
        <v>19.03</v>
      </c>
      <c r="H124" s="159">
        <v>9.5500000000000007</v>
      </c>
      <c r="I124" s="159">
        <f t="shared" si="23"/>
        <v>2112.3299999999981</v>
      </c>
      <c r="J124" s="159">
        <f t="shared" si="23"/>
        <v>1060.0499999999979</v>
      </c>
      <c r="K124" s="160">
        <f t="shared" si="16"/>
        <v>28.58</v>
      </c>
      <c r="L124" s="161">
        <f t="shared" si="18"/>
        <v>3143.7999999999952</v>
      </c>
      <c r="M124" s="150"/>
      <c r="N124" s="233">
        <f>K124</f>
        <v>28.58</v>
      </c>
      <c r="O124" s="230">
        <f>N124+O123</f>
        <v>3133.6959999999954</v>
      </c>
      <c r="P124" s="150"/>
      <c r="Q124" s="156">
        <v>2135</v>
      </c>
      <c r="R124" s="329">
        <f t="shared" ref="R124" si="24">IF($R$14&gt;L124,K124,IF($R$14-L123&gt;0,$R$14-L123,0))</f>
        <v>0</v>
      </c>
      <c r="S124" s="13"/>
      <c r="T124" s="13"/>
    </row>
  </sheetData>
  <mergeCells count="4">
    <mergeCell ref="Q11:R11"/>
    <mergeCell ref="B11:L11"/>
    <mergeCell ref="N12:O12"/>
    <mergeCell ref="N11:O11"/>
  </mergeCells>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A3D49D-14F9-47E1-9D92-BFE90DDA9F23}">
  <sheetPr codeName="Sheet9">
    <tabColor theme="0" tint="-0.34998626667073579"/>
    <pageSetUpPr fitToPage="1"/>
  </sheetPr>
  <dimension ref="A2:AN15"/>
  <sheetViews>
    <sheetView showGridLines="0" zoomScale="85" zoomScaleNormal="85" workbookViewId="0">
      <pane ySplit="4" topLeftCell="A5" activePane="bottomLeft" state="frozen"/>
      <selection activeCell="I27" sqref="I27"/>
      <selection pane="bottomLeft" activeCell="G27" sqref="G27"/>
    </sheetView>
  </sheetViews>
  <sheetFormatPr defaultColWidth="9.109375" defaultRowHeight="10.199999999999999"/>
  <cols>
    <col min="1" max="1" width="21.109375" style="110" customWidth="1"/>
    <col min="2" max="2" width="8" style="110" bestFit="1" customWidth="1"/>
    <col min="3" max="3" width="38.109375" style="110" customWidth="1"/>
    <col min="4" max="4" width="46.109375" style="110" customWidth="1"/>
    <col min="5" max="12" width="12.88671875" style="110" customWidth="1"/>
    <col min="13" max="15" width="20.21875" style="110" customWidth="1"/>
    <col min="16" max="16" width="16.88671875" style="110" customWidth="1"/>
    <col min="17" max="18" width="13" style="110" customWidth="1"/>
    <col min="19" max="22" width="12.88671875" style="110" customWidth="1"/>
    <col min="23" max="23" width="15.5546875" style="110" customWidth="1"/>
    <col min="24" max="28" width="17.109375" style="110" customWidth="1"/>
    <col min="29" max="30" width="18.88671875" style="110" customWidth="1"/>
    <col min="31" max="31" width="18.5546875" style="110" customWidth="1"/>
    <col min="32" max="33" width="12.88671875" style="110" customWidth="1"/>
    <col min="34" max="35" width="15.21875" style="110" customWidth="1"/>
    <col min="36" max="36" width="20.44140625" style="110" customWidth="1"/>
    <col min="37" max="37" width="12.88671875" style="110" customWidth="1"/>
    <col min="38" max="38" width="16.109375" style="110" customWidth="1"/>
    <col min="39" max="39" width="68.88671875" style="110" customWidth="1"/>
    <col min="40" max="40" width="76.109375" style="110" customWidth="1"/>
    <col min="41" max="16384" width="9.109375" style="110"/>
  </cols>
  <sheetData>
    <row r="2" spans="1:40" ht="10.8" thickBot="1"/>
    <row r="3" spans="1:40" ht="21" thickBot="1">
      <c r="B3" s="494" t="s">
        <v>31</v>
      </c>
      <c r="C3" s="495"/>
      <c r="D3" s="496"/>
      <c r="E3" s="502" t="s">
        <v>66</v>
      </c>
      <c r="F3" s="496"/>
      <c r="G3" s="502" t="s">
        <v>2</v>
      </c>
      <c r="H3" s="496"/>
      <c r="I3" s="502" t="s">
        <v>53</v>
      </c>
      <c r="J3" s="496"/>
      <c r="K3" s="502" t="s">
        <v>71</v>
      </c>
      <c r="L3" s="495"/>
      <c r="M3" s="502" t="s">
        <v>54</v>
      </c>
      <c r="N3" s="495"/>
      <c r="O3" s="495"/>
      <c r="P3" s="495"/>
      <c r="Q3" s="495"/>
      <c r="R3" s="495"/>
      <c r="S3" s="495"/>
      <c r="T3" s="495"/>
      <c r="U3" s="495"/>
      <c r="V3" s="495"/>
      <c r="W3" s="496"/>
      <c r="X3" s="502" t="s">
        <v>110</v>
      </c>
      <c r="Y3" s="496"/>
      <c r="Z3" s="281" t="s">
        <v>113</v>
      </c>
      <c r="AA3" s="502" t="s">
        <v>112</v>
      </c>
      <c r="AB3" s="495"/>
      <c r="AC3" s="495"/>
      <c r="AD3" s="495"/>
      <c r="AE3" s="496"/>
      <c r="AF3" s="500" t="s">
        <v>101</v>
      </c>
      <c r="AG3" s="503"/>
      <c r="AH3" s="500" t="s">
        <v>86</v>
      </c>
      <c r="AI3" s="503"/>
      <c r="AJ3" s="282" t="s">
        <v>182</v>
      </c>
      <c r="AK3" s="500" t="s">
        <v>87</v>
      </c>
      <c r="AL3" s="501"/>
      <c r="AM3" s="113"/>
      <c r="AN3" s="113"/>
    </row>
    <row r="4" spans="1:40" ht="31.2" thickBot="1">
      <c r="B4" s="283" t="s">
        <v>57</v>
      </c>
      <c r="C4" s="284" t="s">
        <v>58</v>
      </c>
      <c r="D4" s="284" t="s">
        <v>42</v>
      </c>
      <c r="E4" s="284" t="s">
        <v>61</v>
      </c>
      <c r="F4" s="284" t="s">
        <v>62</v>
      </c>
      <c r="G4" s="284" t="s">
        <v>4</v>
      </c>
      <c r="H4" s="284" t="s">
        <v>5</v>
      </c>
      <c r="I4" s="285" t="s">
        <v>51</v>
      </c>
      <c r="J4" s="285" t="s">
        <v>52</v>
      </c>
      <c r="K4" s="285" t="s">
        <v>70</v>
      </c>
      <c r="L4" s="285" t="s">
        <v>100</v>
      </c>
      <c r="M4" s="285" t="s">
        <v>89</v>
      </c>
      <c r="N4" s="285" t="s">
        <v>83</v>
      </c>
      <c r="O4" s="285" t="s">
        <v>99</v>
      </c>
      <c r="P4" s="284" t="s">
        <v>79</v>
      </c>
      <c r="Q4" s="285" t="s">
        <v>72</v>
      </c>
      <c r="R4" s="285" t="s">
        <v>63</v>
      </c>
      <c r="S4" s="285" t="s">
        <v>93</v>
      </c>
      <c r="T4" s="285" t="s">
        <v>98</v>
      </c>
      <c r="U4" s="285" t="s">
        <v>85</v>
      </c>
      <c r="V4" s="285" t="s">
        <v>96</v>
      </c>
      <c r="W4" s="285" t="s">
        <v>107</v>
      </c>
      <c r="X4" s="285" t="s">
        <v>111</v>
      </c>
      <c r="Y4" s="285" t="s">
        <v>115</v>
      </c>
      <c r="Z4" s="285" t="s">
        <v>114</v>
      </c>
      <c r="AA4" s="285" t="s">
        <v>183</v>
      </c>
      <c r="AB4" s="285" t="s">
        <v>116</v>
      </c>
      <c r="AC4" s="285" t="s">
        <v>102</v>
      </c>
      <c r="AD4" s="285" t="s">
        <v>109</v>
      </c>
      <c r="AE4" s="285" t="s">
        <v>108</v>
      </c>
      <c r="AF4" s="285" t="s">
        <v>69</v>
      </c>
      <c r="AG4" s="285" t="s">
        <v>67</v>
      </c>
      <c r="AH4" s="286" t="s">
        <v>55</v>
      </c>
      <c r="AI4" s="285" t="s">
        <v>56</v>
      </c>
      <c r="AJ4" s="284"/>
      <c r="AK4" s="285" t="s">
        <v>97</v>
      </c>
      <c r="AL4" s="287" t="s">
        <v>60</v>
      </c>
      <c r="AM4" s="401" t="s">
        <v>194</v>
      </c>
      <c r="AN4"/>
    </row>
    <row r="5" spans="1:40" ht="10.8" thickBot="1"/>
    <row r="6" spans="1:40" ht="42">
      <c r="A6" s="497" t="s">
        <v>48</v>
      </c>
      <c r="B6" s="288" t="s">
        <v>119</v>
      </c>
      <c r="C6" s="289" t="s">
        <v>49</v>
      </c>
      <c r="D6" s="290"/>
      <c r="E6" s="291" t="s">
        <v>64</v>
      </c>
      <c r="F6" s="291" t="s">
        <v>65</v>
      </c>
      <c r="G6" s="291">
        <v>2029</v>
      </c>
      <c r="H6" s="291">
        <v>2031</v>
      </c>
      <c r="I6" s="292">
        <v>0.47</v>
      </c>
      <c r="J6" s="293">
        <f>1-I6</f>
        <v>0.53</v>
      </c>
      <c r="K6" s="292">
        <v>0.81</v>
      </c>
      <c r="L6" s="293">
        <f>1-K6</f>
        <v>0.18999999999999995</v>
      </c>
      <c r="M6" s="294">
        <f>55200000-2000000</f>
        <v>53200000</v>
      </c>
      <c r="N6" s="295">
        <f>M6*(1+Assumptions!$B$21)^2</f>
        <v>58653000</v>
      </c>
      <c r="O6" s="290"/>
      <c r="P6" s="296" t="s">
        <v>80</v>
      </c>
      <c r="Q6" s="297"/>
      <c r="R6" s="297"/>
      <c r="S6" s="290"/>
      <c r="T6" s="290"/>
      <c r="U6" s="434">
        <v>58653000</v>
      </c>
      <c r="V6" s="434">
        <v>61585650</v>
      </c>
      <c r="W6" s="434">
        <v>59014932.5</v>
      </c>
      <c r="X6" s="298" t="s">
        <v>59</v>
      </c>
      <c r="Y6" s="298"/>
      <c r="Z6" s="298"/>
      <c r="AA6" s="298"/>
      <c r="AB6" s="298"/>
      <c r="AC6" s="290"/>
      <c r="AD6" s="290"/>
      <c r="AE6" s="295">
        <f>W6</f>
        <v>59014932.5</v>
      </c>
      <c r="AF6" s="299">
        <f>AE6*K6</f>
        <v>47802095.325000003</v>
      </c>
      <c r="AG6" s="299">
        <f>AE6*L6</f>
        <v>11212837.174999997</v>
      </c>
      <c r="AH6" s="299">
        <f>AF6*I6</f>
        <v>22466984.802749999</v>
      </c>
      <c r="AI6" s="299">
        <f>AE6*J6</f>
        <v>31277914.225000001</v>
      </c>
      <c r="AJ6" s="300" t="s">
        <v>59</v>
      </c>
      <c r="AK6" s="290"/>
      <c r="AL6" s="301"/>
      <c r="AM6" s="402" t="s">
        <v>195</v>
      </c>
      <c r="AN6"/>
    </row>
    <row r="7" spans="1:40" ht="32.25" customHeight="1">
      <c r="A7" s="498"/>
      <c r="B7" s="302" t="s">
        <v>120</v>
      </c>
      <c r="C7" s="435" t="s">
        <v>121</v>
      </c>
      <c r="D7" s="436"/>
      <c r="E7" s="437" t="s">
        <v>64</v>
      </c>
      <c r="F7" s="437" t="s">
        <v>65</v>
      </c>
      <c r="G7" s="437">
        <v>2026</v>
      </c>
      <c r="H7" s="437">
        <v>2026</v>
      </c>
      <c r="I7" s="262">
        <v>0.47</v>
      </c>
      <c r="J7" s="303">
        <f>1-I7</f>
        <v>0.53</v>
      </c>
      <c r="K7" s="262">
        <v>0.81</v>
      </c>
      <c r="L7" s="303">
        <f>1-K7</f>
        <v>0.18999999999999995</v>
      </c>
      <c r="M7" s="304"/>
      <c r="N7" s="305"/>
      <c r="O7" s="436"/>
      <c r="P7" s="306" t="s">
        <v>81</v>
      </c>
      <c r="Q7" s="307"/>
      <c r="R7" s="307"/>
      <c r="S7" s="436"/>
      <c r="T7" s="436"/>
      <c r="U7" s="305"/>
      <c r="V7" s="438"/>
      <c r="W7" s="438">
        <v>5650000</v>
      </c>
      <c r="X7" s="438" t="s">
        <v>59</v>
      </c>
      <c r="Y7" s="438"/>
      <c r="Z7" s="438"/>
      <c r="AA7" s="438"/>
      <c r="AB7" s="438"/>
      <c r="AC7" s="436"/>
      <c r="AD7" s="439"/>
      <c r="AE7" s="305">
        <f>W7-AC7-AD7</f>
        <v>5650000</v>
      </c>
      <c r="AF7" s="308">
        <f>AE7*K7</f>
        <v>4576500</v>
      </c>
      <c r="AG7" s="308">
        <f>AE7*L7</f>
        <v>1073499.9999999998</v>
      </c>
      <c r="AH7" s="308">
        <f>AF7*I7</f>
        <v>2150955</v>
      </c>
      <c r="AI7" s="308">
        <f>AE7*J7</f>
        <v>2994500</v>
      </c>
      <c r="AJ7" s="440" t="s">
        <v>59</v>
      </c>
      <c r="AK7" s="436"/>
      <c r="AL7" s="309"/>
      <c r="AM7" s="403" t="s">
        <v>196</v>
      </c>
      <c r="AN7"/>
    </row>
    <row r="8" spans="1:40" ht="21" thickBot="1">
      <c r="A8" s="499"/>
      <c r="B8" s="310" t="s">
        <v>47</v>
      </c>
      <c r="C8" s="311" t="s">
        <v>50</v>
      </c>
      <c r="D8" s="312"/>
      <c r="E8" s="313" t="s">
        <v>64</v>
      </c>
      <c r="F8" s="313" t="s">
        <v>65</v>
      </c>
      <c r="G8" s="313">
        <v>2033</v>
      </c>
      <c r="H8" s="313">
        <v>2034</v>
      </c>
      <c r="I8" s="314">
        <v>1</v>
      </c>
      <c r="J8" s="315">
        <f>1-I8</f>
        <v>0</v>
      </c>
      <c r="K8" s="314">
        <v>0.81</v>
      </c>
      <c r="L8" s="315">
        <f>1-K8</f>
        <v>0.18999999999999995</v>
      </c>
      <c r="M8" s="316">
        <f>14800000-600000</f>
        <v>14200000</v>
      </c>
      <c r="N8" s="317">
        <f>M8*(1+Assumptions!$B$21)^2</f>
        <v>15655500</v>
      </c>
      <c r="O8" s="312"/>
      <c r="P8" s="318" t="s">
        <v>80</v>
      </c>
      <c r="Q8" s="319"/>
      <c r="R8" s="319"/>
      <c r="S8" s="312"/>
      <c r="T8" s="312"/>
      <c r="U8" s="317">
        <v>15655500</v>
      </c>
      <c r="V8" s="320">
        <v>16438275</v>
      </c>
      <c r="W8" s="320">
        <v>17260188.75</v>
      </c>
      <c r="X8" s="320" t="s">
        <v>59</v>
      </c>
      <c r="Y8" s="320"/>
      <c r="Z8" s="320"/>
      <c r="AA8" s="320"/>
      <c r="AB8" s="320"/>
      <c r="AC8" s="312"/>
      <c r="AD8" s="312"/>
      <c r="AE8" s="317">
        <f>W8-AC8</f>
        <v>17260188.75</v>
      </c>
      <c r="AF8" s="321">
        <f>AE8*K8</f>
        <v>13980752.887500001</v>
      </c>
      <c r="AG8" s="321">
        <f>AE8*L8</f>
        <v>3279435.8624999989</v>
      </c>
      <c r="AH8" s="321">
        <f>AF8*I8</f>
        <v>13980752.887500001</v>
      </c>
      <c r="AI8" s="321">
        <f>AE8*J8</f>
        <v>0</v>
      </c>
      <c r="AJ8" s="322" t="s">
        <v>59</v>
      </c>
      <c r="AK8" s="312"/>
      <c r="AL8" s="323"/>
      <c r="AM8" s="404" t="s">
        <v>197</v>
      </c>
      <c r="AN8"/>
    </row>
    <row r="9" spans="1:40" customFormat="1" ht="14.4">
      <c r="A9" s="112"/>
      <c r="B9" s="110"/>
      <c r="C9" s="110"/>
      <c r="D9" s="110"/>
      <c r="E9" s="110"/>
      <c r="F9" s="110"/>
      <c r="G9" s="110"/>
      <c r="H9" s="110"/>
      <c r="I9" s="111"/>
      <c r="J9" s="111"/>
      <c r="K9" s="110"/>
    </row>
    <row r="11" spans="1:40" ht="13.8">
      <c r="D11" s="405"/>
      <c r="E11" s="405"/>
      <c r="F11" s="405"/>
      <c r="G11" s="405"/>
      <c r="H11" s="405"/>
      <c r="I11" s="405"/>
      <c r="J11" s="405"/>
      <c r="K11" s="405"/>
      <c r="L11" s="405"/>
    </row>
    <row r="12" spans="1:40">
      <c r="W12" s="61"/>
    </row>
    <row r="13" spans="1:40">
      <c r="N13" s="114"/>
    </row>
    <row r="15" spans="1:40">
      <c r="V15" s="61"/>
    </row>
  </sheetData>
  <mergeCells count="12">
    <mergeCell ref="B3:D3"/>
    <mergeCell ref="A6:A8"/>
    <mergeCell ref="AK3:AL3"/>
    <mergeCell ref="E3:F3"/>
    <mergeCell ref="G3:H3"/>
    <mergeCell ref="I3:J3"/>
    <mergeCell ref="AH3:AI3"/>
    <mergeCell ref="AF3:AG3"/>
    <mergeCell ref="K3:L3"/>
    <mergeCell ref="AA3:AE3"/>
    <mergeCell ref="M3:W3"/>
    <mergeCell ref="X3:Y3"/>
  </mergeCells>
  <conditionalFormatting sqref="AJ6:AJ8">
    <cfRule type="cellIs" dxfId="0" priority="5" operator="equal">
      <formula>"""Yes"""</formula>
    </cfRule>
  </conditionalFormatting>
  <dataValidations count="2">
    <dataValidation type="list" allowBlank="1" showInputMessage="1" showErrorMessage="1" sqref="P6:P8" xr:uid="{AF6BF711-D49E-4E02-8553-8AE9B894D71F}">
      <formula1>"Conceptual, Preliminary Design, Detailed Design, Tendered"</formula1>
    </dataValidation>
    <dataValidation type="list" allowBlank="1" showInputMessage="1" showErrorMessage="1" sqref="AJ6:AJ8" xr:uid="{40CEBF79-C15E-4E70-BBE4-945A2A4B011A}">
      <formula1>"Yes,No"</formula1>
    </dataValidation>
  </dataValidations>
  <pageMargins left="0.25" right="0.25" top="0.75" bottom="0.75" header="0.3" footer="0.3"/>
  <pageSetup paperSize="4" scale="25"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F84CBE-6B44-4BD0-89AF-773563FA2500}">
  <sheetPr codeName="Sheet54">
    <tabColor theme="0" tint="-0.249977111117893"/>
    <pageSetUpPr fitToPage="1"/>
  </sheetPr>
  <dimension ref="B2:P22"/>
  <sheetViews>
    <sheetView showGridLines="0" tabSelected="1" workbookViewId="0">
      <selection activeCell="C29" sqref="C29"/>
    </sheetView>
  </sheetViews>
  <sheetFormatPr defaultColWidth="9.109375" defaultRowHeight="10.199999999999999"/>
  <cols>
    <col min="1" max="1" width="9.109375" style="57"/>
    <col min="2" max="2" width="17.6640625" style="57" customWidth="1"/>
    <col min="3" max="3" width="61.5546875" style="57" customWidth="1"/>
    <col min="4" max="4" width="18" style="57" customWidth="1"/>
    <col min="5" max="5" width="14.6640625" style="57" customWidth="1"/>
    <col min="6" max="6" width="13.5546875" style="57" customWidth="1"/>
    <col min="7" max="7" width="9.109375" style="57"/>
    <col min="8" max="8" width="15.88671875" style="57" customWidth="1"/>
    <col min="9" max="9" width="16.6640625" style="57" customWidth="1"/>
    <col min="10" max="10" width="17.21875" style="57" customWidth="1"/>
    <col min="11" max="11" width="15" style="57" customWidth="1"/>
    <col min="12" max="12" width="21" style="57" customWidth="1"/>
    <col min="13" max="13" width="27.109375" style="57" customWidth="1"/>
    <col min="14" max="14" width="23.44140625" style="57" customWidth="1"/>
    <col min="15" max="16" width="21.5546875" style="57" customWidth="1"/>
    <col min="17" max="16384" width="9.109375" style="57"/>
  </cols>
  <sheetData>
    <row r="2" spans="2:16">
      <c r="B2" s="58"/>
    </row>
    <row r="3" spans="2:16" s="59" customFormat="1" ht="23.25" customHeight="1" thickBot="1">
      <c r="B3" s="69" t="s">
        <v>68</v>
      </c>
      <c r="C3" s="57"/>
      <c r="D3" s="57"/>
      <c r="E3" s="57"/>
      <c r="F3" s="57"/>
      <c r="G3" s="57"/>
      <c r="H3" s="57"/>
      <c r="I3" s="57"/>
      <c r="J3" s="57"/>
      <c r="K3" s="57"/>
      <c r="L3" s="57"/>
      <c r="M3" s="57"/>
      <c r="N3" s="57"/>
      <c r="O3" s="57"/>
      <c r="P3" s="57"/>
    </row>
    <row r="4" spans="2:16" s="59" customFormat="1" ht="20.25" customHeight="1" thickBot="1">
      <c r="B4" s="474" t="s">
        <v>31</v>
      </c>
      <c r="C4" s="475"/>
      <c r="D4" s="476" t="s">
        <v>66</v>
      </c>
      <c r="E4" s="477"/>
      <c r="F4" s="476" t="s">
        <v>2</v>
      </c>
      <c r="G4" s="477"/>
      <c r="H4" s="470" t="s">
        <v>88</v>
      </c>
      <c r="I4" s="472"/>
      <c r="J4" s="476" t="s">
        <v>53</v>
      </c>
      <c r="K4" s="477"/>
      <c r="L4" s="470" t="s">
        <v>84</v>
      </c>
      <c r="M4" s="471"/>
      <c r="N4" s="471"/>
      <c r="O4" s="470" t="s">
        <v>86</v>
      </c>
      <c r="P4" s="473"/>
    </row>
    <row r="5" spans="2:16" s="59" customFormat="1" ht="33.75" customHeight="1">
      <c r="B5" s="254" t="s">
        <v>57</v>
      </c>
      <c r="C5" s="255" t="s">
        <v>58</v>
      </c>
      <c r="D5" s="256" t="s">
        <v>61</v>
      </c>
      <c r="E5" s="256" t="s">
        <v>62</v>
      </c>
      <c r="F5" s="256" t="s">
        <v>4</v>
      </c>
      <c r="G5" s="256" t="s">
        <v>5</v>
      </c>
      <c r="H5" s="257" t="s">
        <v>51</v>
      </c>
      <c r="I5" s="257" t="s">
        <v>52</v>
      </c>
      <c r="J5" s="257" t="s">
        <v>70</v>
      </c>
      <c r="K5" s="257" t="s">
        <v>71</v>
      </c>
      <c r="L5" s="257" t="s">
        <v>107</v>
      </c>
      <c r="M5" s="257" t="s">
        <v>108</v>
      </c>
      <c r="N5" s="257" t="s">
        <v>69</v>
      </c>
      <c r="O5" s="256" t="s">
        <v>55</v>
      </c>
      <c r="P5" s="258" t="s">
        <v>56</v>
      </c>
    </row>
    <row r="6" spans="2:16" ht="23.25" customHeight="1">
      <c r="B6" s="259" t="s">
        <v>119</v>
      </c>
      <c r="C6" s="260" t="str">
        <f>INDEX('Project List '!$C$6:$C$8, MATCH(B6,'Project List '!$B$6:$B$8,0))</f>
        <v>Recreation Centre Expansion - Leisure Water and Other</v>
      </c>
      <c r="D6" s="261" t="str">
        <f>INDEX('Project List '!$E$6:$E$8, MATCH(B6,'Project List '!$B$6:$B$8,0))</f>
        <v>Town</v>
      </c>
      <c r="E6" s="261" t="str">
        <f>INDEX('Project List '!$F$6:$F$8, MATCH(B6,'Project List '!$B$6:$B$8,0))</f>
        <v>OSL</v>
      </c>
      <c r="F6" s="261">
        <f>INDEX('Project List '!$G$6:$G$8, MATCH(B6,'Project List '!$B$6:$B$8,0))</f>
        <v>2029</v>
      </c>
      <c r="G6" s="261">
        <f>INDEX('Project List '!$H$6:$H$8, MATCH(B6,'Project List '!$B$6:$B$8,0))</f>
        <v>2031</v>
      </c>
      <c r="H6" s="262">
        <f>INDEX('Project List '!I$6:$I$8, MATCH(B6,'Project List '!$B$6:$B$8,0))</f>
        <v>0.47</v>
      </c>
      <c r="I6" s="263">
        <f>INDEX('Project List '!$J$6:$J$8, MATCH(B6,'Project List '!$B$6:$B$8,0))</f>
        <v>0.53</v>
      </c>
      <c r="J6" s="262">
        <f>INDEX('Project List '!$K$6:$K$8, MATCH(B6,'Project List '!$B$6:$B$8,0))</f>
        <v>0.81</v>
      </c>
      <c r="K6" s="263">
        <f>INDEX('Project List '!$L$6:$L$8, MATCH(B6,'Project List '!$B$6:$B$8,0))</f>
        <v>0.18999999999999995</v>
      </c>
      <c r="L6" s="264">
        <f>INDEX('Project List '!$W$6:$W$8, MATCH(B6,'Project List '!$B$6:$B$8,0))</f>
        <v>59014932.5</v>
      </c>
      <c r="M6" s="264">
        <f>INDEX('Project List '!$AE$6:$AE$8, MATCH(B6,'Project List '!$B$6:$B$8,0))</f>
        <v>59014932.5</v>
      </c>
      <c r="N6" s="264">
        <f>INDEX('Project List '!$AF$6:$AF$8, MATCH(B6,'Project List '!$B$6:$B$8,0))</f>
        <v>47802095.325000003</v>
      </c>
      <c r="O6" s="265">
        <f>INDEX('Project List '!$AH$6:$AH$8, MATCH(B6,'Project List '!$B$6:$B$8,0))</f>
        <v>22466984.802749999</v>
      </c>
      <c r="P6" s="266">
        <f>INDEX('Project List '!$AI$6:$AI$8, MATCH(B6,'Project List '!$B$6:$B$8,0))</f>
        <v>31277914.225000001</v>
      </c>
    </row>
    <row r="7" spans="2:16" ht="23.25" customHeight="1">
      <c r="B7" s="259" t="s">
        <v>120</v>
      </c>
      <c r="C7" s="260" t="str">
        <f>INDEX('Project List '!$C$6:$C$8, MATCH(B7,'Project List '!$B$6:$B$8,0))</f>
        <v>Recreation Centre Expansion - Leisure Water and Other - Design Work</v>
      </c>
      <c r="D7" s="261" t="str">
        <f>INDEX('Project List '!$E$6:$E$8, MATCH(B7,'Project List '!$B$6:$B$8,0))</f>
        <v>Town</v>
      </c>
      <c r="E7" s="261" t="str">
        <f>INDEX('Project List '!$F$6:$F$8, MATCH(B7,'Project List '!$B$6:$B$8,0))</f>
        <v>OSL</v>
      </c>
      <c r="F7" s="261">
        <f>INDEX('Project List '!$G$6:$G$8, MATCH(B7,'Project List '!$B$6:$B$8,0))</f>
        <v>2026</v>
      </c>
      <c r="G7" s="261">
        <f>INDEX('Project List '!$H$6:$H$8, MATCH(B7,'Project List '!$B$6:$B$8,0))</f>
        <v>2026</v>
      </c>
      <c r="H7" s="262">
        <f>INDEX('Project List '!I$6:$I$8, MATCH(B7,'Project List '!$B$6:$B$8,0))</f>
        <v>0.47</v>
      </c>
      <c r="I7" s="263">
        <f>INDEX('Project List '!$J$6:$J$8, MATCH(B7,'Project List '!$B$6:$B$8,0))</f>
        <v>0.53</v>
      </c>
      <c r="J7" s="262">
        <f>INDEX('Project List '!$K$6:$K$8, MATCH(B7,'Project List '!$B$6:$B$8,0))</f>
        <v>0.81</v>
      </c>
      <c r="K7" s="263">
        <f>INDEX('Project List '!$L$6:$L$8, MATCH(B7,'Project List '!$B$6:$B$8,0))</f>
        <v>0.18999999999999995</v>
      </c>
      <c r="L7" s="264">
        <f>INDEX('Project List '!$W$6:$W$8, MATCH(B7,'Project List '!$B$6:$B$8,0))</f>
        <v>5650000</v>
      </c>
      <c r="M7" s="264">
        <f>INDEX('Project List '!$AE$6:$AE$8, MATCH(B7,'Project List '!$B$6:$B$8,0))</f>
        <v>5650000</v>
      </c>
      <c r="N7" s="264">
        <f>INDEX('Project List '!$AF$6:$AF$8, MATCH(B7,'Project List '!$B$6:$B$8,0))</f>
        <v>4576500</v>
      </c>
      <c r="O7" s="265">
        <f>INDEX('Project List '!$AH$6:$AH$8, MATCH(B7,'Project List '!$B$6:$B$8,0))</f>
        <v>2150955</v>
      </c>
      <c r="P7" s="266">
        <f>INDEX('Project List '!$AI$6:$AI$8, MATCH(B7,'Project List '!$B$6:$B$8,0))</f>
        <v>2994500</v>
      </c>
    </row>
    <row r="8" spans="2:16" ht="23.25" customHeight="1">
      <c r="B8" s="267" t="s">
        <v>47</v>
      </c>
      <c r="C8" s="268" t="str">
        <f>INDEX('Project List '!$C$6:$C$8, MATCH(B8,'Project List '!$B$6:$B$8,0))</f>
        <v>Flatwater Expansion</v>
      </c>
      <c r="D8" s="269" t="str">
        <f>INDEX('Project List '!$E$6:$E$8, MATCH(B8,'Project List '!$B$6:$B$8,0))</f>
        <v>Town</v>
      </c>
      <c r="E8" s="269" t="str">
        <f>INDEX('Project List '!$F$6:$F$8, MATCH(B8,'Project List '!$B$6:$B$8,0))</f>
        <v>OSL</v>
      </c>
      <c r="F8" s="269">
        <f>INDEX('Project List '!$G$6:$G$8, MATCH(B8,'Project List '!$B$6:$B$8,0))</f>
        <v>2033</v>
      </c>
      <c r="G8" s="269">
        <f>INDEX('Project List '!$H$6:$H$8, MATCH(B8,'Project List '!$B$6:$B$8,0))</f>
        <v>2034</v>
      </c>
      <c r="H8" s="270">
        <f>INDEX('Project List '!I$6:$I$8, MATCH(B8,'Project List '!$B$6:$B$8,0))</f>
        <v>1</v>
      </c>
      <c r="I8" s="271">
        <f>INDEX('Project List '!$J$6:$J$8, MATCH(B8,'Project List '!$B$6:$B$8,0))</f>
        <v>0</v>
      </c>
      <c r="J8" s="270">
        <f>INDEX('Project List '!$K$6:$K$8, MATCH(B8,'Project List '!$B$6:$B$8,0))</f>
        <v>0.81</v>
      </c>
      <c r="K8" s="271">
        <f>INDEX('Project List '!$L$6:$L$8, MATCH(B8,'Project List '!$B$6:$B$8,0))</f>
        <v>0.18999999999999995</v>
      </c>
      <c r="L8" s="272">
        <f>INDEX('Project List '!$W$6:$W$8, MATCH(B8,'Project List '!$B$6:$B$8,0))</f>
        <v>17260188.75</v>
      </c>
      <c r="M8" s="272">
        <f>INDEX('Project List '!$AE$6:$AE$8, MATCH(B8,'Project List '!$B$6:$B$8,0))</f>
        <v>17260188.75</v>
      </c>
      <c r="N8" s="272">
        <f>INDEX('Project List '!$AF$6:$AF$8, MATCH(B8,'Project List '!$B$6:$B$8,0))</f>
        <v>13980752.887500001</v>
      </c>
      <c r="O8" s="273">
        <f>INDEX('Project List '!$AH$6:$AH$8, MATCH(B8,'Project List '!$B$6:$B$8,0))</f>
        <v>13980752.887500001</v>
      </c>
      <c r="P8" s="274">
        <f>INDEX('Project List '!$AI$6:$AI$8, MATCH(B8,'Project List '!$B$6:$B$8,0))</f>
        <v>0</v>
      </c>
    </row>
    <row r="9" spans="2:16" ht="10.8" thickBot="1">
      <c r="B9" s="275"/>
      <c r="C9" s="276"/>
      <c r="D9" s="276"/>
      <c r="E9" s="276"/>
      <c r="F9" s="276"/>
      <c r="G9" s="276"/>
      <c r="H9" s="277"/>
      <c r="I9" s="277"/>
      <c r="J9" s="276"/>
      <c r="K9" s="278"/>
      <c r="L9" s="278"/>
      <c r="M9" s="279">
        <f>SUM(M6:M8)</f>
        <v>81925121.25</v>
      </c>
      <c r="N9" s="279"/>
      <c r="O9" s="279">
        <f>SUM(O6:O8)</f>
        <v>38598692.690250002</v>
      </c>
      <c r="P9" s="280">
        <f>SUM(P6:P8)</f>
        <v>34272414.225000001</v>
      </c>
    </row>
    <row r="10" spans="2:16" hidden="1">
      <c r="M10" s="70"/>
      <c r="N10" s="70"/>
    </row>
    <row r="11" spans="2:16" hidden="1">
      <c r="M11" s="67"/>
    </row>
    <row r="12" spans="2:16" hidden="1">
      <c r="B12" s="56" t="s">
        <v>94</v>
      </c>
      <c r="D12" s="60"/>
      <c r="E12" s="60"/>
    </row>
    <row r="13" spans="2:16" hidden="1">
      <c r="B13" s="64" t="s">
        <v>57</v>
      </c>
      <c r="C13" s="65" t="s">
        <v>58</v>
      </c>
      <c r="D13" s="66" t="s">
        <v>118</v>
      </c>
      <c r="E13" s="466" t="s">
        <v>117</v>
      </c>
      <c r="F13" s="466"/>
    </row>
    <row r="14" spans="2:16" hidden="1">
      <c r="B14" s="59" t="s">
        <v>46</v>
      </c>
      <c r="C14" s="60" t="s">
        <v>49</v>
      </c>
      <c r="D14" s="138"/>
      <c r="E14" s="467"/>
      <c r="F14" s="467"/>
    </row>
    <row r="15" spans="2:16" ht="10.8" hidden="1" thickBot="1">
      <c r="B15" s="62" t="s">
        <v>47</v>
      </c>
      <c r="C15" s="63" t="s">
        <v>50</v>
      </c>
      <c r="D15" s="132"/>
      <c r="E15" s="468"/>
      <c r="F15" s="468"/>
    </row>
    <row r="16" spans="2:16" ht="10.8" hidden="1" thickTop="1">
      <c r="D16" s="109"/>
      <c r="E16" s="469"/>
      <c r="F16" s="469"/>
    </row>
    <row r="17" spans="14:14" hidden="1"/>
    <row r="18" spans="14:14" hidden="1"/>
    <row r="22" spans="14:14">
      <c r="N22" s="451"/>
    </row>
  </sheetData>
  <mergeCells count="11">
    <mergeCell ref="O4:P4"/>
    <mergeCell ref="B4:C4"/>
    <mergeCell ref="D4:E4"/>
    <mergeCell ref="F4:G4"/>
    <mergeCell ref="J4:K4"/>
    <mergeCell ref="E13:F13"/>
    <mergeCell ref="E14:F14"/>
    <mergeCell ref="E15:F15"/>
    <mergeCell ref="E16:F16"/>
    <mergeCell ref="L4:N4"/>
    <mergeCell ref="H4:I4"/>
  </mergeCells>
  <pageMargins left="0.25" right="0.25" top="0.75" bottom="0.75" header="0.3" footer="0.3"/>
  <pageSetup paperSize="4" scale="21"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84A352-3E1D-4C73-99ED-6AE6D4371E26}">
  <sheetPr codeName="Sheet71">
    <tabColor theme="0" tint="-0.499984740745262"/>
  </sheetPr>
  <dimension ref="A3:BU73"/>
  <sheetViews>
    <sheetView showGridLines="0" zoomScale="70" zoomScaleNormal="70" workbookViewId="0">
      <selection activeCell="O30" sqref="O30"/>
    </sheetView>
  </sheetViews>
  <sheetFormatPr defaultColWidth="9.109375" defaultRowHeight="14.4"/>
  <cols>
    <col min="1" max="1" width="33.44140625" customWidth="1"/>
    <col min="2" max="2" width="69.5546875" customWidth="1"/>
    <col min="3" max="3" width="16.6640625" customWidth="1"/>
    <col min="4" max="5" width="19.5546875" customWidth="1"/>
    <col min="6" max="6" width="25.44140625" customWidth="1"/>
    <col min="7" max="9" width="23.109375" style="1" customWidth="1"/>
    <col min="10" max="12" width="25.109375" customWidth="1"/>
    <col min="13" max="13" width="18.6640625" customWidth="1"/>
    <col min="14" max="14" width="20.109375" customWidth="1"/>
    <col min="15" max="15" width="30.5546875" customWidth="1"/>
    <col min="16" max="16" width="28.44140625" customWidth="1"/>
    <col min="17" max="17" width="18.21875" customWidth="1"/>
    <col min="18" max="18" width="20.109375" customWidth="1"/>
    <col min="19" max="19" width="17.88671875" customWidth="1"/>
    <col min="20" max="20" width="18.21875" customWidth="1"/>
    <col min="21" max="21" width="16.88671875" customWidth="1"/>
    <col min="22" max="22" width="20" customWidth="1"/>
    <col min="23" max="23" width="18.21875" customWidth="1"/>
    <col min="24" max="24" width="19.5546875" customWidth="1"/>
    <col min="25" max="25" width="18.6640625" customWidth="1"/>
    <col min="26" max="26" width="20" customWidth="1"/>
    <col min="27" max="27" width="17.109375" customWidth="1"/>
    <col min="28" max="28" width="16.44140625" customWidth="1"/>
    <col min="29" max="29" width="15.44140625" customWidth="1"/>
    <col min="30" max="30" width="16" customWidth="1"/>
    <col min="31" max="31" width="15.88671875" customWidth="1"/>
    <col min="32" max="34" width="18.21875" customWidth="1"/>
    <col min="35" max="35" width="17.44140625" customWidth="1"/>
    <col min="36" max="36" width="19.5546875" customWidth="1"/>
    <col min="37" max="37" width="17.44140625" customWidth="1"/>
    <col min="38" max="38" width="16.44140625" customWidth="1"/>
    <col min="39" max="73" width="18.88671875" customWidth="1"/>
    <col min="74" max="74" width="20.21875" customWidth="1"/>
    <col min="75" max="75" width="18.88671875" customWidth="1"/>
    <col min="76" max="76" width="20" customWidth="1"/>
    <col min="77" max="77" width="17.109375" customWidth="1"/>
    <col min="78" max="78" width="20.21875" customWidth="1"/>
    <col min="79" max="79" width="16.88671875" customWidth="1"/>
    <col min="80" max="80" width="16.21875" customWidth="1"/>
    <col min="81" max="81" width="21.109375" customWidth="1"/>
    <col min="82" max="82" width="19.109375" customWidth="1"/>
  </cols>
  <sheetData>
    <row r="3" spans="1:73" ht="15.6">
      <c r="B3" s="519" t="s">
        <v>202</v>
      </c>
      <c r="C3" s="519"/>
      <c r="D3" s="519"/>
      <c r="E3" s="519"/>
      <c r="F3" s="519"/>
      <c r="G3" s="519"/>
      <c r="H3" s="519"/>
      <c r="I3" s="519"/>
      <c r="J3" s="519"/>
      <c r="K3" s="16"/>
      <c r="L3" s="16"/>
      <c r="M3" s="2"/>
      <c r="N3" s="28"/>
      <c r="O3" s="29"/>
      <c r="P3" s="29"/>
      <c r="Q3" s="30"/>
      <c r="R3" s="28"/>
      <c r="S3" s="31"/>
      <c r="T3" s="31"/>
      <c r="U3" s="31"/>
      <c r="V3" s="31"/>
      <c r="W3" s="31"/>
      <c r="X3" s="31"/>
      <c r="Y3" s="31"/>
      <c r="Z3" s="31"/>
      <c r="AA3" s="31"/>
      <c r="AB3" s="31"/>
      <c r="AC3" s="31"/>
      <c r="AD3" s="31"/>
      <c r="AE3" s="31"/>
      <c r="AF3" s="31"/>
      <c r="AG3" s="31"/>
      <c r="AH3" s="31"/>
      <c r="AI3" s="31"/>
      <c r="AJ3" s="31"/>
      <c r="AK3" s="31"/>
      <c r="AL3" s="31"/>
      <c r="AM3" s="31"/>
      <c r="AN3" s="31"/>
      <c r="AO3" s="31"/>
      <c r="AP3" s="31"/>
      <c r="AQ3" s="31"/>
      <c r="AR3" s="31"/>
      <c r="AS3" s="31"/>
      <c r="AT3" s="31"/>
      <c r="AU3" s="31"/>
      <c r="AV3" s="31"/>
      <c r="AW3" s="31"/>
      <c r="AX3" s="31"/>
      <c r="AY3" s="31"/>
      <c r="AZ3" s="31"/>
      <c r="BA3" s="31"/>
      <c r="BB3" s="31"/>
      <c r="BC3" s="31"/>
      <c r="BD3" s="31"/>
      <c r="BE3" s="31"/>
      <c r="BF3" s="31"/>
      <c r="BG3" s="31"/>
      <c r="BH3" s="31"/>
      <c r="BI3" s="31"/>
      <c r="BJ3" s="31"/>
      <c r="BK3" s="31"/>
      <c r="BL3" s="31"/>
      <c r="BM3" s="31"/>
      <c r="BN3" s="31"/>
      <c r="BO3" s="31"/>
      <c r="BP3" s="31"/>
      <c r="BQ3" s="31"/>
      <c r="BR3" s="31"/>
      <c r="BS3" s="31"/>
      <c r="BT3" s="31"/>
      <c r="BU3" s="31"/>
    </row>
    <row r="4" spans="1:73" ht="15.6">
      <c r="B4" s="519" t="s">
        <v>32</v>
      </c>
      <c r="C4" s="519"/>
      <c r="D4" s="519"/>
      <c r="E4" s="519"/>
      <c r="F4" s="519"/>
      <c r="G4" s="519"/>
      <c r="H4" s="519"/>
      <c r="I4" s="519"/>
      <c r="J4" s="519"/>
      <c r="K4" s="16"/>
      <c r="L4" s="16"/>
      <c r="M4" s="16"/>
      <c r="N4" s="28"/>
      <c r="O4" s="29"/>
      <c r="P4" s="29"/>
      <c r="Q4" s="30"/>
      <c r="R4" s="28"/>
      <c r="S4" s="31"/>
      <c r="T4" s="31"/>
      <c r="U4" s="31"/>
      <c r="V4" s="31"/>
      <c r="W4" s="31"/>
      <c r="X4" s="31"/>
      <c r="Y4" s="31"/>
      <c r="Z4" s="31"/>
      <c r="AA4" s="31"/>
      <c r="AB4" s="31"/>
      <c r="AC4" s="31"/>
      <c r="AD4" s="31"/>
      <c r="AE4" s="31"/>
      <c r="AF4" s="31"/>
      <c r="AG4" s="31"/>
      <c r="AH4" s="31"/>
      <c r="AI4" s="31"/>
      <c r="AJ4" s="31"/>
      <c r="AK4" s="31"/>
      <c r="AL4" s="31"/>
      <c r="AM4" s="31"/>
      <c r="AN4" s="31"/>
      <c r="AO4" s="31"/>
      <c r="AP4" s="31"/>
      <c r="AQ4" s="31"/>
      <c r="AR4" s="31"/>
      <c r="AS4" s="31"/>
      <c r="AT4" s="31"/>
      <c r="AU4" s="31"/>
      <c r="AV4" s="31"/>
      <c r="AW4" s="31"/>
      <c r="AX4" s="31"/>
      <c r="AY4" s="31"/>
      <c r="AZ4" s="31"/>
      <c r="BA4" s="31"/>
      <c r="BB4" s="31"/>
      <c r="BC4" s="31"/>
      <c r="BD4" s="31"/>
      <c r="BE4" s="31"/>
      <c r="BF4" s="31"/>
      <c r="BG4" s="31"/>
      <c r="BH4" s="31"/>
      <c r="BI4" s="31"/>
      <c r="BJ4" s="31"/>
      <c r="BK4" s="31"/>
      <c r="BL4" s="31"/>
      <c r="BM4" s="31"/>
      <c r="BN4" s="31"/>
      <c r="BO4" s="31"/>
      <c r="BP4" s="31"/>
      <c r="BQ4" s="31"/>
      <c r="BR4" s="31"/>
      <c r="BS4" s="31"/>
      <c r="BT4" s="31"/>
      <c r="BU4" s="31"/>
    </row>
    <row r="5" spans="1:73" ht="15.6">
      <c r="B5" s="519" t="str">
        <f>Assumptions!B3&amp;" $s"</f>
        <v>2026 $s</v>
      </c>
      <c r="C5" s="519"/>
      <c r="D5" s="519"/>
      <c r="E5" s="519"/>
      <c r="F5" s="519"/>
      <c r="G5" s="519"/>
      <c r="H5" s="519"/>
      <c r="I5" s="519"/>
      <c r="J5" s="519"/>
      <c r="K5" s="16"/>
      <c r="L5" s="16"/>
      <c r="M5" s="49"/>
      <c r="N5" s="28"/>
      <c r="O5" s="29"/>
      <c r="P5" s="29"/>
      <c r="Q5" s="30"/>
      <c r="R5" s="28"/>
      <c r="S5" s="31"/>
      <c r="T5" s="31"/>
      <c r="U5" s="31"/>
      <c r="V5" s="31"/>
      <c r="W5" s="31"/>
      <c r="X5" s="31"/>
      <c r="Y5" s="31"/>
      <c r="Z5" s="31"/>
      <c r="AA5" s="31"/>
      <c r="AB5" s="31"/>
      <c r="AC5" s="31"/>
      <c r="AD5" s="31"/>
      <c r="AE5" s="31"/>
      <c r="AF5" s="31"/>
      <c r="AG5" s="31"/>
      <c r="AH5" s="31"/>
      <c r="AI5" s="31"/>
      <c r="AJ5" s="31"/>
      <c r="AK5" s="31"/>
      <c r="AL5" s="31"/>
      <c r="AM5" s="31"/>
      <c r="AN5" s="31"/>
      <c r="AO5" s="31"/>
      <c r="AP5" s="31"/>
      <c r="AQ5" s="31"/>
      <c r="AR5" s="31"/>
      <c r="AS5" s="31"/>
      <c r="AT5" s="31"/>
      <c r="AU5" s="31"/>
      <c r="AV5" s="31"/>
      <c r="AW5" s="31"/>
      <c r="AX5" s="31"/>
      <c r="AY5" s="31"/>
      <c r="AZ5" s="31"/>
      <c r="BA5" s="31"/>
      <c r="BB5" s="31"/>
      <c r="BC5" s="31"/>
      <c r="BD5" s="31"/>
      <c r="BE5" s="31"/>
      <c r="BF5" s="31"/>
      <c r="BG5" s="31"/>
      <c r="BH5" s="31"/>
      <c r="BI5" s="31"/>
      <c r="BJ5" s="31"/>
      <c r="BK5" s="31"/>
      <c r="BL5" s="31"/>
      <c r="BM5" s="31"/>
      <c r="BN5" s="31"/>
      <c r="BO5" s="31"/>
      <c r="BP5" s="31"/>
      <c r="BQ5" s="31"/>
      <c r="BR5" s="31"/>
      <c r="BS5" s="31"/>
      <c r="BT5" s="31"/>
      <c r="BU5" s="31"/>
    </row>
    <row r="6" spans="1:73" ht="15.6" hidden="1">
      <c r="K6" s="16"/>
      <c r="L6" s="71">
        <v>1</v>
      </c>
      <c r="M6" s="72">
        <f>(1+M7)</f>
        <v>1.0249999999999999</v>
      </c>
      <c r="N6" s="72">
        <f>+(1+N7)*M6</f>
        <v>1.0506249999999999</v>
      </c>
      <c r="O6" s="72">
        <f>+(1+O7)*N6</f>
        <v>1.0768906249999999</v>
      </c>
      <c r="P6" s="72">
        <f t="shared" ref="P6:BS6" si="0">+(1+P7)*O6</f>
        <v>1.1038128906249998</v>
      </c>
      <c r="Q6" s="72">
        <f t="shared" si="0"/>
        <v>1.1314082128906247</v>
      </c>
      <c r="R6" s="72">
        <f t="shared" si="0"/>
        <v>1.1596934182128902</v>
      </c>
      <c r="S6" s="72">
        <f t="shared" si="0"/>
        <v>1.1886857536682123</v>
      </c>
      <c r="T6" s="72">
        <f t="shared" si="0"/>
        <v>1.2184028975099175</v>
      </c>
      <c r="U6" s="72">
        <f t="shared" si="0"/>
        <v>1.2488629699476652</v>
      </c>
      <c r="V6" s="72">
        <f t="shared" si="0"/>
        <v>1.2800845441963566</v>
      </c>
      <c r="W6" s="72">
        <f t="shared" si="0"/>
        <v>1.3120866578012655</v>
      </c>
      <c r="X6" s="72">
        <f t="shared" si="0"/>
        <v>1.3448888242462971</v>
      </c>
      <c r="Y6" s="72">
        <f t="shared" si="0"/>
        <v>1.3785110448524545</v>
      </c>
      <c r="Z6" s="72">
        <f t="shared" si="0"/>
        <v>1.4129738209737657</v>
      </c>
      <c r="AA6" s="72">
        <f t="shared" si="0"/>
        <v>1.4482981664981096</v>
      </c>
      <c r="AB6" s="72">
        <f t="shared" si="0"/>
        <v>1.4845056206605622</v>
      </c>
      <c r="AC6" s="72">
        <f t="shared" si="0"/>
        <v>1.5216182611770761</v>
      </c>
      <c r="AD6" s="72">
        <f t="shared" si="0"/>
        <v>1.5596587177065029</v>
      </c>
      <c r="AE6" s="72">
        <f t="shared" si="0"/>
        <v>1.5986501856491653</v>
      </c>
      <c r="AF6" s="72">
        <f t="shared" si="0"/>
        <v>1.6386164402903942</v>
      </c>
      <c r="AG6" s="72">
        <f t="shared" si="0"/>
        <v>1.6795818512976539</v>
      </c>
      <c r="AH6" s="72">
        <f t="shared" si="0"/>
        <v>1.721571397580095</v>
      </c>
      <c r="AI6" s="72">
        <f t="shared" si="0"/>
        <v>1.7646106825195973</v>
      </c>
      <c r="AJ6" s="72">
        <f t="shared" si="0"/>
        <v>1.8087259495825871</v>
      </c>
      <c r="AK6" s="72">
        <f t="shared" si="0"/>
        <v>1.8539440983221516</v>
      </c>
      <c r="AL6" s="72">
        <f t="shared" si="0"/>
        <v>1.9002927007802053</v>
      </c>
      <c r="AM6" s="72">
        <f t="shared" si="0"/>
        <v>1.9478000182997102</v>
      </c>
      <c r="AN6" s="72">
        <f t="shared" si="0"/>
        <v>1.9964950187572028</v>
      </c>
      <c r="AO6" s="72">
        <f t="shared" si="0"/>
        <v>2.0464073942261325</v>
      </c>
      <c r="AP6" s="72">
        <f t="shared" si="0"/>
        <v>2.0975675790817858</v>
      </c>
      <c r="AQ6" s="72">
        <f t="shared" si="0"/>
        <v>2.1500067685588302</v>
      </c>
      <c r="AR6" s="72">
        <f t="shared" si="0"/>
        <v>2.2037569377728006</v>
      </c>
      <c r="AS6" s="72">
        <f t="shared" si="0"/>
        <v>2.2588508612171205</v>
      </c>
      <c r="AT6" s="72">
        <f t="shared" si="0"/>
        <v>2.3153221327475482</v>
      </c>
      <c r="AU6" s="72">
        <f t="shared" si="0"/>
        <v>2.3732051860662366</v>
      </c>
      <c r="AV6" s="72">
        <f t="shared" si="0"/>
        <v>2.4325353157178924</v>
      </c>
      <c r="AW6" s="72">
        <f t="shared" si="0"/>
        <v>2.4933486986108395</v>
      </c>
      <c r="AX6" s="72">
        <f t="shared" si="0"/>
        <v>2.5556824160761105</v>
      </c>
      <c r="AY6" s="72">
        <f t="shared" si="0"/>
        <v>2.6195744764780131</v>
      </c>
      <c r="AZ6" s="72">
        <f t="shared" si="0"/>
        <v>2.6850638383899632</v>
      </c>
      <c r="BA6" s="72">
        <f t="shared" si="0"/>
        <v>2.7521904343497119</v>
      </c>
      <c r="BB6" s="72">
        <f t="shared" si="0"/>
        <v>2.8209951952084547</v>
      </c>
      <c r="BC6" s="72">
        <f t="shared" si="0"/>
        <v>2.8915200750886658</v>
      </c>
      <c r="BD6" s="72">
        <f t="shared" si="0"/>
        <v>2.9638080769658823</v>
      </c>
      <c r="BE6" s="72">
        <f t="shared" si="0"/>
        <v>3.0379032788900293</v>
      </c>
      <c r="BF6" s="72">
        <f t="shared" si="0"/>
        <v>3.1138508608622799</v>
      </c>
      <c r="BG6" s="72">
        <f t="shared" si="0"/>
        <v>3.1916971323838368</v>
      </c>
      <c r="BH6" s="72">
        <f t="shared" si="0"/>
        <v>3.2714895606934324</v>
      </c>
      <c r="BI6" s="72">
        <f t="shared" si="0"/>
        <v>3.353276799710768</v>
      </c>
      <c r="BJ6" s="72">
        <f t="shared" si="0"/>
        <v>3.437108719703537</v>
      </c>
      <c r="BK6" s="72">
        <f t="shared" si="0"/>
        <v>3.523036437696125</v>
      </c>
      <c r="BL6" s="72">
        <f t="shared" si="0"/>
        <v>3.6111123486385277</v>
      </c>
      <c r="BM6" s="72">
        <f t="shared" si="0"/>
        <v>3.7013901573544907</v>
      </c>
      <c r="BN6" s="72">
        <f t="shared" si="0"/>
        <v>3.7939249112883529</v>
      </c>
      <c r="BO6" s="72">
        <f t="shared" si="0"/>
        <v>3.8887730340705615</v>
      </c>
      <c r="BP6" s="72">
        <f t="shared" si="0"/>
        <v>3.9859923599223253</v>
      </c>
      <c r="BQ6" s="72">
        <f t="shared" si="0"/>
        <v>4.0856421689203835</v>
      </c>
      <c r="BR6" s="72">
        <f t="shared" si="0"/>
        <v>4.1877832231433922</v>
      </c>
      <c r="BS6" s="73">
        <f t="shared" si="0"/>
        <v>4.2924778037219768</v>
      </c>
      <c r="BT6" s="31"/>
      <c r="BU6" s="31"/>
    </row>
    <row r="7" spans="1:73" ht="15" thickBot="1">
      <c r="E7" s="3"/>
      <c r="F7" s="10"/>
      <c r="G7" s="10"/>
      <c r="H7" s="10"/>
      <c r="I7" s="4"/>
      <c r="J7" s="4"/>
      <c r="K7" s="4"/>
      <c r="L7" s="238">
        <f>Assumptions!$B$19</f>
        <v>2.5000000000000001E-2</v>
      </c>
      <c r="M7" s="238">
        <f>Assumptions!$B$19</f>
        <v>2.5000000000000001E-2</v>
      </c>
      <c r="N7" s="238">
        <f>Assumptions!$B$19</f>
        <v>2.5000000000000001E-2</v>
      </c>
      <c r="O7" s="238">
        <f>Assumptions!$B$19</f>
        <v>2.5000000000000001E-2</v>
      </c>
      <c r="P7" s="238">
        <f>Assumptions!$B$19</f>
        <v>2.5000000000000001E-2</v>
      </c>
      <c r="Q7" s="238">
        <f>Assumptions!$B$19</f>
        <v>2.5000000000000001E-2</v>
      </c>
      <c r="R7" s="238">
        <f>Assumptions!$B$19</f>
        <v>2.5000000000000001E-2</v>
      </c>
      <c r="S7" s="238">
        <f>Assumptions!$B$19</f>
        <v>2.5000000000000001E-2</v>
      </c>
      <c r="T7" s="238">
        <f>Assumptions!$B$19</f>
        <v>2.5000000000000001E-2</v>
      </c>
      <c r="U7" s="238">
        <f>Assumptions!$B$19</f>
        <v>2.5000000000000001E-2</v>
      </c>
      <c r="V7" s="238">
        <f>Assumptions!$B$19</f>
        <v>2.5000000000000001E-2</v>
      </c>
      <c r="W7" s="238">
        <f>Assumptions!$B$19</f>
        <v>2.5000000000000001E-2</v>
      </c>
      <c r="X7" s="238">
        <f>Assumptions!$B$19</f>
        <v>2.5000000000000001E-2</v>
      </c>
      <c r="Y7" s="238">
        <f>Assumptions!$B$19</f>
        <v>2.5000000000000001E-2</v>
      </c>
      <c r="Z7" s="238">
        <f>Assumptions!$B$19</f>
        <v>2.5000000000000001E-2</v>
      </c>
      <c r="AA7" s="238">
        <f>Assumptions!$B$19</f>
        <v>2.5000000000000001E-2</v>
      </c>
      <c r="AB7" s="238">
        <f>Assumptions!$B$19</f>
        <v>2.5000000000000001E-2</v>
      </c>
      <c r="AC7" s="238">
        <f>Assumptions!$B$19</f>
        <v>2.5000000000000001E-2</v>
      </c>
      <c r="AD7" s="238">
        <f>Assumptions!$B$19</f>
        <v>2.5000000000000001E-2</v>
      </c>
      <c r="AE7" s="238">
        <f>Assumptions!$B$19</f>
        <v>2.5000000000000001E-2</v>
      </c>
      <c r="AF7" s="238">
        <f>Assumptions!$B$19</f>
        <v>2.5000000000000001E-2</v>
      </c>
      <c r="AG7" s="238">
        <f>Assumptions!$B$19</f>
        <v>2.5000000000000001E-2</v>
      </c>
      <c r="AH7" s="238">
        <f>Assumptions!$B$19</f>
        <v>2.5000000000000001E-2</v>
      </c>
      <c r="AI7" s="238">
        <f>Assumptions!$B$19</f>
        <v>2.5000000000000001E-2</v>
      </c>
      <c r="AJ7" s="238">
        <f>Assumptions!$B$19</f>
        <v>2.5000000000000001E-2</v>
      </c>
      <c r="AK7" s="238">
        <f>Assumptions!$B$19</f>
        <v>2.5000000000000001E-2</v>
      </c>
      <c r="AL7" s="238">
        <f>Assumptions!$B$19</f>
        <v>2.5000000000000001E-2</v>
      </c>
      <c r="AM7" s="238">
        <f>Assumptions!$B$19</f>
        <v>2.5000000000000001E-2</v>
      </c>
      <c r="AN7" s="238">
        <f>Assumptions!$B$19</f>
        <v>2.5000000000000001E-2</v>
      </c>
      <c r="AO7" s="238">
        <f>Assumptions!$B$19</f>
        <v>2.5000000000000001E-2</v>
      </c>
      <c r="AP7" s="238">
        <f>Assumptions!$B$19</f>
        <v>2.5000000000000001E-2</v>
      </c>
      <c r="AQ7" s="238">
        <f>Assumptions!$B$19</f>
        <v>2.5000000000000001E-2</v>
      </c>
      <c r="AR7" s="238">
        <f>Assumptions!$B$19</f>
        <v>2.5000000000000001E-2</v>
      </c>
      <c r="AS7" s="238">
        <f>Assumptions!$B$19</f>
        <v>2.5000000000000001E-2</v>
      </c>
      <c r="AT7" s="238">
        <f>Assumptions!$B$19</f>
        <v>2.5000000000000001E-2</v>
      </c>
      <c r="AU7" s="238">
        <f>Assumptions!$B$19</f>
        <v>2.5000000000000001E-2</v>
      </c>
      <c r="AV7" s="238">
        <f>Assumptions!$B$19</f>
        <v>2.5000000000000001E-2</v>
      </c>
      <c r="AW7" s="238">
        <f>Assumptions!$B$19</f>
        <v>2.5000000000000001E-2</v>
      </c>
      <c r="AX7" s="238">
        <f>Assumptions!$B$19</f>
        <v>2.5000000000000001E-2</v>
      </c>
      <c r="AY7" s="238">
        <f>Assumptions!$B$19</f>
        <v>2.5000000000000001E-2</v>
      </c>
      <c r="AZ7" s="238">
        <f>Assumptions!$B$19</f>
        <v>2.5000000000000001E-2</v>
      </c>
      <c r="BA7" s="238">
        <f>Assumptions!$B$19</f>
        <v>2.5000000000000001E-2</v>
      </c>
      <c r="BB7" s="238">
        <f>Assumptions!$B$19</f>
        <v>2.5000000000000001E-2</v>
      </c>
      <c r="BC7" s="238">
        <f>Assumptions!$B$19</f>
        <v>2.5000000000000001E-2</v>
      </c>
      <c r="BD7" s="238">
        <f>Assumptions!$B$19</f>
        <v>2.5000000000000001E-2</v>
      </c>
      <c r="BE7" s="238">
        <f>Assumptions!$B$19</f>
        <v>2.5000000000000001E-2</v>
      </c>
      <c r="BF7" s="238">
        <f>Assumptions!$B$19</f>
        <v>2.5000000000000001E-2</v>
      </c>
      <c r="BG7" s="238">
        <f>Assumptions!$B$19</f>
        <v>2.5000000000000001E-2</v>
      </c>
      <c r="BH7" s="238">
        <f>Assumptions!$B$19</f>
        <v>2.5000000000000001E-2</v>
      </c>
      <c r="BI7" s="238">
        <f>Assumptions!$B$19</f>
        <v>2.5000000000000001E-2</v>
      </c>
      <c r="BJ7" s="238">
        <f>Assumptions!$B$19</f>
        <v>2.5000000000000001E-2</v>
      </c>
      <c r="BK7" s="238">
        <f>Assumptions!$B$19</f>
        <v>2.5000000000000001E-2</v>
      </c>
      <c r="BL7" s="238">
        <f>Assumptions!$B$19</f>
        <v>2.5000000000000001E-2</v>
      </c>
      <c r="BM7" s="238">
        <f>Assumptions!$B$19</f>
        <v>2.5000000000000001E-2</v>
      </c>
      <c r="BN7" s="238">
        <f>Assumptions!$B$19</f>
        <v>2.5000000000000001E-2</v>
      </c>
      <c r="BO7" s="238">
        <f>Assumptions!$B$19</f>
        <v>2.5000000000000001E-2</v>
      </c>
      <c r="BP7" s="238">
        <f>Assumptions!$B$19</f>
        <v>2.5000000000000001E-2</v>
      </c>
      <c r="BQ7" s="238">
        <f>Assumptions!$B$19</f>
        <v>2.5000000000000001E-2</v>
      </c>
      <c r="BR7" s="238">
        <f>Assumptions!$B$19</f>
        <v>2.5000000000000001E-2</v>
      </c>
      <c r="BS7" s="238">
        <f>Assumptions!$B$19</f>
        <v>2.5000000000000001E-2</v>
      </c>
    </row>
    <row r="8" spans="1:73" ht="12.75" customHeight="1">
      <c r="A8" s="505" t="s">
        <v>0</v>
      </c>
      <c r="B8" s="508" t="s">
        <v>1</v>
      </c>
      <c r="C8" s="508" t="s">
        <v>2</v>
      </c>
      <c r="D8" s="508"/>
      <c r="E8" s="508"/>
      <c r="F8" s="511" t="s">
        <v>26</v>
      </c>
      <c r="G8" s="41"/>
      <c r="H8" s="41"/>
      <c r="I8" s="514" t="s">
        <v>20</v>
      </c>
      <c r="J8" s="514" t="s">
        <v>21</v>
      </c>
      <c r="K8" s="523" t="s">
        <v>27</v>
      </c>
      <c r="L8" s="74" t="s">
        <v>40</v>
      </c>
      <c r="M8" s="75"/>
      <c r="N8" s="75"/>
      <c r="O8" s="75"/>
      <c r="P8" s="75"/>
      <c r="Q8" s="75"/>
      <c r="R8" s="75"/>
      <c r="S8" s="75"/>
      <c r="T8" s="75"/>
      <c r="U8" s="75"/>
      <c r="V8" s="75"/>
      <c r="W8" s="75"/>
      <c r="X8" s="75"/>
      <c r="Y8" s="75"/>
      <c r="Z8" s="75"/>
      <c r="AA8" s="75"/>
      <c r="AB8" s="75"/>
      <c r="AC8" s="75"/>
      <c r="AD8" s="75"/>
      <c r="AE8" s="75"/>
      <c r="AF8" s="75"/>
      <c r="AG8" s="75"/>
      <c r="AH8" s="75"/>
      <c r="AI8" s="75"/>
      <c r="AJ8" s="75"/>
      <c r="AK8" s="75"/>
      <c r="AL8" s="76"/>
      <c r="AM8" s="76"/>
      <c r="AN8" s="76"/>
      <c r="AO8" s="76"/>
      <c r="AP8" s="76"/>
      <c r="AQ8" s="76"/>
      <c r="AR8" s="76"/>
      <c r="AS8" s="76"/>
      <c r="AT8" s="76"/>
      <c r="AU8" s="76"/>
      <c r="AV8" s="76"/>
      <c r="AW8" s="76"/>
      <c r="AX8" s="76"/>
      <c r="AY8" s="76"/>
      <c r="AZ8" s="76"/>
      <c r="BA8" s="76"/>
      <c r="BB8" s="76"/>
      <c r="BC8" s="76"/>
      <c r="BD8" s="76"/>
      <c r="BE8" s="76"/>
      <c r="BF8" s="76"/>
      <c r="BG8" s="76"/>
      <c r="BH8" s="76"/>
      <c r="BI8" s="76"/>
      <c r="BJ8" s="76"/>
      <c r="BK8" s="76"/>
      <c r="BL8" s="76"/>
      <c r="BM8" s="76"/>
      <c r="BN8" s="76"/>
      <c r="BO8" s="76"/>
      <c r="BP8" s="76"/>
      <c r="BQ8" s="76"/>
      <c r="BR8" s="76"/>
      <c r="BS8" s="76"/>
      <c r="BT8" s="34"/>
    </row>
    <row r="9" spans="1:73" ht="52.5" customHeight="1">
      <c r="A9" s="506"/>
      <c r="B9" s="509"/>
      <c r="C9" s="509" t="s">
        <v>4</v>
      </c>
      <c r="D9" s="509" t="s">
        <v>5</v>
      </c>
      <c r="E9" s="509" t="s">
        <v>3</v>
      </c>
      <c r="F9" s="512"/>
      <c r="G9" s="42" t="s">
        <v>73</v>
      </c>
      <c r="H9" s="42" t="s">
        <v>41</v>
      </c>
      <c r="I9" s="515"/>
      <c r="J9" s="515"/>
      <c r="K9" s="524"/>
      <c r="L9" s="35">
        <v>0</v>
      </c>
      <c r="M9" s="35">
        <v>1</v>
      </c>
      <c r="N9" s="35">
        <f t="shared" ref="N9:BS9" si="1">+M9+1</f>
        <v>2</v>
      </c>
      <c r="O9" s="35">
        <f t="shared" si="1"/>
        <v>3</v>
      </c>
      <c r="P9" s="35">
        <f t="shared" si="1"/>
        <v>4</v>
      </c>
      <c r="Q9" s="35">
        <f t="shared" si="1"/>
        <v>5</v>
      </c>
      <c r="R9" s="35">
        <f t="shared" si="1"/>
        <v>6</v>
      </c>
      <c r="S9" s="35">
        <f t="shared" si="1"/>
        <v>7</v>
      </c>
      <c r="T9" s="35">
        <f t="shared" si="1"/>
        <v>8</v>
      </c>
      <c r="U9" s="35">
        <f t="shared" si="1"/>
        <v>9</v>
      </c>
      <c r="V9" s="35">
        <f t="shared" si="1"/>
        <v>10</v>
      </c>
      <c r="W9" s="35">
        <f t="shared" si="1"/>
        <v>11</v>
      </c>
      <c r="X9" s="35">
        <f t="shared" si="1"/>
        <v>12</v>
      </c>
      <c r="Y9" s="35">
        <f t="shared" si="1"/>
        <v>13</v>
      </c>
      <c r="Z9" s="35">
        <f t="shared" si="1"/>
        <v>14</v>
      </c>
      <c r="AA9" s="35">
        <f t="shared" si="1"/>
        <v>15</v>
      </c>
      <c r="AB9" s="35">
        <f t="shared" si="1"/>
        <v>16</v>
      </c>
      <c r="AC9" s="35">
        <f t="shared" si="1"/>
        <v>17</v>
      </c>
      <c r="AD9" s="35">
        <f t="shared" si="1"/>
        <v>18</v>
      </c>
      <c r="AE9" s="35">
        <f t="shared" si="1"/>
        <v>19</v>
      </c>
      <c r="AF9" s="35">
        <f t="shared" si="1"/>
        <v>20</v>
      </c>
      <c r="AG9" s="35">
        <f t="shared" si="1"/>
        <v>21</v>
      </c>
      <c r="AH9" s="35">
        <f t="shared" si="1"/>
        <v>22</v>
      </c>
      <c r="AI9" s="35">
        <f t="shared" si="1"/>
        <v>23</v>
      </c>
      <c r="AJ9" s="35">
        <f t="shared" si="1"/>
        <v>24</v>
      </c>
      <c r="AK9" s="35">
        <f t="shared" si="1"/>
        <v>25</v>
      </c>
      <c r="AL9" s="35">
        <f t="shared" si="1"/>
        <v>26</v>
      </c>
      <c r="AM9" s="35">
        <f t="shared" si="1"/>
        <v>27</v>
      </c>
      <c r="AN9" s="35">
        <f t="shared" si="1"/>
        <v>28</v>
      </c>
      <c r="AO9" s="35">
        <f t="shared" si="1"/>
        <v>29</v>
      </c>
      <c r="AP9" s="35">
        <f t="shared" si="1"/>
        <v>30</v>
      </c>
      <c r="AQ9" s="35">
        <f t="shared" si="1"/>
        <v>31</v>
      </c>
      <c r="AR9" s="35">
        <f t="shared" si="1"/>
        <v>32</v>
      </c>
      <c r="AS9" s="35">
        <f t="shared" si="1"/>
        <v>33</v>
      </c>
      <c r="AT9" s="35">
        <f t="shared" si="1"/>
        <v>34</v>
      </c>
      <c r="AU9" s="35">
        <f t="shared" si="1"/>
        <v>35</v>
      </c>
      <c r="AV9" s="35">
        <f t="shared" si="1"/>
        <v>36</v>
      </c>
      <c r="AW9" s="35">
        <f t="shared" si="1"/>
        <v>37</v>
      </c>
      <c r="AX9" s="35">
        <f t="shared" si="1"/>
        <v>38</v>
      </c>
      <c r="AY9" s="35">
        <f t="shared" si="1"/>
        <v>39</v>
      </c>
      <c r="AZ9" s="35">
        <f t="shared" si="1"/>
        <v>40</v>
      </c>
      <c r="BA9" s="35">
        <f t="shared" si="1"/>
        <v>41</v>
      </c>
      <c r="BB9" s="35">
        <f t="shared" si="1"/>
        <v>42</v>
      </c>
      <c r="BC9" s="35">
        <f t="shared" si="1"/>
        <v>43</v>
      </c>
      <c r="BD9" s="35">
        <f t="shared" si="1"/>
        <v>44</v>
      </c>
      <c r="BE9" s="35">
        <f t="shared" si="1"/>
        <v>45</v>
      </c>
      <c r="BF9" s="35">
        <f t="shared" si="1"/>
        <v>46</v>
      </c>
      <c r="BG9" s="35">
        <f t="shared" si="1"/>
        <v>47</v>
      </c>
      <c r="BH9" s="35">
        <f t="shared" si="1"/>
        <v>48</v>
      </c>
      <c r="BI9" s="35">
        <f t="shared" si="1"/>
        <v>49</v>
      </c>
      <c r="BJ9" s="35">
        <f t="shared" si="1"/>
        <v>50</v>
      </c>
      <c r="BK9" s="35">
        <f t="shared" si="1"/>
        <v>51</v>
      </c>
      <c r="BL9" s="35">
        <f t="shared" si="1"/>
        <v>52</v>
      </c>
      <c r="BM9" s="35">
        <f t="shared" si="1"/>
        <v>53</v>
      </c>
      <c r="BN9" s="35">
        <f t="shared" si="1"/>
        <v>54</v>
      </c>
      <c r="BO9" s="35">
        <f t="shared" si="1"/>
        <v>55</v>
      </c>
      <c r="BP9" s="35">
        <f t="shared" si="1"/>
        <v>56</v>
      </c>
      <c r="BQ9" s="35">
        <f t="shared" si="1"/>
        <v>57</v>
      </c>
      <c r="BR9" s="35">
        <f t="shared" si="1"/>
        <v>58</v>
      </c>
      <c r="BS9" s="35">
        <f t="shared" si="1"/>
        <v>59</v>
      </c>
      <c r="BT9" s="36"/>
    </row>
    <row r="10" spans="1:73" ht="14.55" customHeight="1" thickBot="1">
      <c r="A10" s="507"/>
      <c r="B10" s="510"/>
      <c r="C10" s="510"/>
      <c r="D10" s="510"/>
      <c r="E10" s="510"/>
      <c r="F10" s="27" t="str">
        <f>CONCATENATE("(",$B$5,")")</f>
        <v>(2026 $s)</v>
      </c>
      <c r="G10" s="27" t="str">
        <f>CONCATENATE("(",$B$5,")")</f>
        <v>(2026 $s)</v>
      </c>
      <c r="H10" s="27" t="str">
        <f>CONCATENATE("(",$B$5,")")</f>
        <v>(2026 $s)</v>
      </c>
      <c r="I10" s="516"/>
      <c r="J10" s="516"/>
      <c r="K10" s="32" t="str">
        <f>CONCATENATE("(",B5,")")</f>
        <v>(2026 $s)</v>
      </c>
      <c r="L10" s="5">
        <f>Assumptions!B3</f>
        <v>2026</v>
      </c>
      <c r="M10" s="5">
        <f t="shared" ref="M10:BS10" si="2">L10+1</f>
        <v>2027</v>
      </c>
      <c r="N10" s="5">
        <f t="shared" si="2"/>
        <v>2028</v>
      </c>
      <c r="O10" s="5">
        <f t="shared" si="2"/>
        <v>2029</v>
      </c>
      <c r="P10" s="5">
        <f t="shared" si="2"/>
        <v>2030</v>
      </c>
      <c r="Q10" s="5">
        <f t="shared" si="2"/>
        <v>2031</v>
      </c>
      <c r="R10" s="5">
        <f t="shared" si="2"/>
        <v>2032</v>
      </c>
      <c r="S10" s="5">
        <f t="shared" si="2"/>
        <v>2033</v>
      </c>
      <c r="T10" s="5">
        <f t="shared" si="2"/>
        <v>2034</v>
      </c>
      <c r="U10" s="5">
        <f t="shared" si="2"/>
        <v>2035</v>
      </c>
      <c r="V10" s="5">
        <f t="shared" si="2"/>
        <v>2036</v>
      </c>
      <c r="W10" s="5">
        <f t="shared" si="2"/>
        <v>2037</v>
      </c>
      <c r="X10" s="5">
        <f t="shared" si="2"/>
        <v>2038</v>
      </c>
      <c r="Y10" s="5">
        <f t="shared" si="2"/>
        <v>2039</v>
      </c>
      <c r="Z10" s="5">
        <f t="shared" si="2"/>
        <v>2040</v>
      </c>
      <c r="AA10" s="5">
        <f t="shared" si="2"/>
        <v>2041</v>
      </c>
      <c r="AB10" s="5">
        <f t="shared" si="2"/>
        <v>2042</v>
      </c>
      <c r="AC10" s="5">
        <f t="shared" si="2"/>
        <v>2043</v>
      </c>
      <c r="AD10" s="5">
        <f t="shared" si="2"/>
        <v>2044</v>
      </c>
      <c r="AE10" s="5">
        <f t="shared" si="2"/>
        <v>2045</v>
      </c>
      <c r="AF10" s="5">
        <f t="shared" si="2"/>
        <v>2046</v>
      </c>
      <c r="AG10" s="5">
        <f t="shared" si="2"/>
        <v>2047</v>
      </c>
      <c r="AH10" s="5">
        <f t="shared" si="2"/>
        <v>2048</v>
      </c>
      <c r="AI10" s="5">
        <f t="shared" si="2"/>
        <v>2049</v>
      </c>
      <c r="AJ10" s="5">
        <f t="shared" si="2"/>
        <v>2050</v>
      </c>
      <c r="AK10" s="5">
        <f t="shared" si="2"/>
        <v>2051</v>
      </c>
      <c r="AL10" s="5">
        <f t="shared" si="2"/>
        <v>2052</v>
      </c>
      <c r="AM10" s="5">
        <f t="shared" si="2"/>
        <v>2053</v>
      </c>
      <c r="AN10" s="5">
        <f t="shared" si="2"/>
        <v>2054</v>
      </c>
      <c r="AO10" s="5">
        <f t="shared" si="2"/>
        <v>2055</v>
      </c>
      <c r="AP10" s="5">
        <f t="shared" si="2"/>
        <v>2056</v>
      </c>
      <c r="AQ10" s="5">
        <f t="shared" si="2"/>
        <v>2057</v>
      </c>
      <c r="AR10" s="5">
        <f t="shared" si="2"/>
        <v>2058</v>
      </c>
      <c r="AS10" s="5">
        <f t="shared" si="2"/>
        <v>2059</v>
      </c>
      <c r="AT10" s="5">
        <f t="shared" si="2"/>
        <v>2060</v>
      </c>
      <c r="AU10" s="5">
        <f t="shared" si="2"/>
        <v>2061</v>
      </c>
      <c r="AV10" s="5">
        <f t="shared" si="2"/>
        <v>2062</v>
      </c>
      <c r="AW10" s="5">
        <f t="shared" si="2"/>
        <v>2063</v>
      </c>
      <c r="AX10" s="5">
        <f t="shared" si="2"/>
        <v>2064</v>
      </c>
      <c r="AY10" s="5">
        <f t="shared" si="2"/>
        <v>2065</v>
      </c>
      <c r="AZ10" s="5">
        <f t="shared" si="2"/>
        <v>2066</v>
      </c>
      <c r="BA10" s="5">
        <f t="shared" si="2"/>
        <v>2067</v>
      </c>
      <c r="BB10" s="5">
        <f t="shared" si="2"/>
        <v>2068</v>
      </c>
      <c r="BC10" s="5">
        <f t="shared" si="2"/>
        <v>2069</v>
      </c>
      <c r="BD10" s="5">
        <f t="shared" si="2"/>
        <v>2070</v>
      </c>
      <c r="BE10" s="5">
        <f t="shared" si="2"/>
        <v>2071</v>
      </c>
      <c r="BF10" s="5">
        <f t="shared" si="2"/>
        <v>2072</v>
      </c>
      <c r="BG10" s="5">
        <f t="shared" si="2"/>
        <v>2073</v>
      </c>
      <c r="BH10" s="5">
        <f t="shared" si="2"/>
        <v>2074</v>
      </c>
      <c r="BI10" s="5">
        <f t="shared" si="2"/>
        <v>2075</v>
      </c>
      <c r="BJ10" s="5">
        <f t="shared" si="2"/>
        <v>2076</v>
      </c>
      <c r="BK10" s="5">
        <f t="shared" si="2"/>
        <v>2077</v>
      </c>
      <c r="BL10" s="5">
        <f t="shared" si="2"/>
        <v>2078</v>
      </c>
      <c r="BM10" s="5">
        <f t="shared" si="2"/>
        <v>2079</v>
      </c>
      <c r="BN10" s="5">
        <f t="shared" si="2"/>
        <v>2080</v>
      </c>
      <c r="BO10" s="5">
        <f t="shared" si="2"/>
        <v>2081</v>
      </c>
      <c r="BP10" s="5">
        <f t="shared" si="2"/>
        <v>2082</v>
      </c>
      <c r="BQ10" s="5">
        <f t="shared" si="2"/>
        <v>2083</v>
      </c>
      <c r="BR10" s="5">
        <f t="shared" si="2"/>
        <v>2084</v>
      </c>
      <c r="BS10" s="5">
        <f t="shared" si="2"/>
        <v>2085</v>
      </c>
      <c r="BT10" s="37" t="s">
        <v>6</v>
      </c>
    </row>
    <row r="11" spans="1:73" ht="13.5" customHeight="1">
      <c r="A11" s="8" t="s">
        <v>13</v>
      </c>
      <c r="B11" s="9" t="s">
        <v>12</v>
      </c>
      <c r="C11" s="9" t="s">
        <v>74</v>
      </c>
      <c r="D11" s="9" t="s">
        <v>75</v>
      </c>
      <c r="E11" s="9" t="s">
        <v>15</v>
      </c>
      <c r="F11" s="11" t="s">
        <v>14</v>
      </c>
      <c r="G11" s="11" t="s">
        <v>16</v>
      </c>
      <c r="H11" s="11" t="s">
        <v>17</v>
      </c>
      <c r="I11" s="11" t="s">
        <v>18</v>
      </c>
      <c r="J11" s="11" t="s">
        <v>19</v>
      </c>
      <c r="K11" s="33" t="s">
        <v>76</v>
      </c>
      <c r="L11" s="44"/>
      <c r="M11" s="44"/>
      <c r="N11" s="39" t="str">
        <f t="shared" ref="N11" si="3">IF(AND(N$10=$C11,N$10=$D11),(($K11/$E11)*N$6),IF(AND(N$10&gt;=$C11,N$10&lt;=$D11),(($K11/$E11)*N$6),""))</f>
        <v/>
      </c>
      <c r="O11" s="44"/>
      <c r="P11" s="44"/>
      <c r="Q11" s="44"/>
      <c r="R11" s="44"/>
      <c r="S11" s="44"/>
      <c r="T11" s="44"/>
      <c r="U11" s="44"/>
      <c r="V11" s="44"/>
      <c r="W11" s="44"/>
      <c r="X11" s="44"/>
      <c r="Y11" s="44"/>
      <c r="Z11" s="44"/>
      <c r="AA11" s="44"/>
      <c r="AB11" s="44"/>
      <c r="AC11" s="44"/>
      <c r="AD11" s="44"/>
      <c r="AE11" s="45"/>
      <c r="AF11" s="46"/>
      <c r="AG11" s="46"/>
      <c r="AH11" s="46"/>
      <c r="AI11" s="46"/>
      <c r="AJ11" s="46"/>
      <c r="AK11" s="46"/>
      <c r="AL11" s="46"/>
      <c r="AM11" s="46"/>
      <c r="AN11" s="46"/>
      <c r="AO11" s="46"/>
      <c r="AP11" s="46"/>
      <c r="AQ11" s="46"/>
      <c r="AR11" s="46"/>
      <c r="AS11" s="46"/>
      <c r="AT11" s="46"/>
      <c r="AU11" s="46"/>
      <c r="AV11" s="46"/>
      <c r="AW11" s="46"/>
      <c r="AX11" s="46"/>
      <c r="AY11" s="46"/>
      <c r="AZ11" s="46"/>
      <c r="BA11" s="46"/>
      <c r="BB11" s="46"/>
      <c r="BC11" s="46"/>
      <c r="BD11" s="46"/>
      <c r="BE11" s="46"/>
      <c r="BF11" s="46"/>
      <c r="BG11" s="46"/>
      <c r="BH11" s="46"/>
      <c r="BI11" s="46"/>
      <c r="BJ11" s="46"/>
      <c r="BK11" s="46"/>
      <c r="BL11" s="46"/>
      <c r="BM11" s="46"/>
      <c r="BN11" s="46"/>
      <c r="BO11" s="46"/>
      <c r="BP11" s="46"/>
      <c r="BQ11" s="46"/>
      <c r="BR11" s="46"/>
      <c r="BS11" s="46"/>
      <c r="BT11" s="38"/>
    </row>
    <row r="12" spans="1:73" ht="13.5" customHeight="1">
      <c r="A12" s="171" t="s">
        <v>119</v>
      </c>
      <c r="B12" s="172" t="str">
        <f>INDEX('R-Recreation'!$C$6:$C$34,MATCH(Table19578101112131423617272815161718720232529[[#This Row],[a]],'R-Recreation'!$B$6:$B$34,0))</f>
        <v>Recreation Centre Expansion - Leisure Water and Other</v>
      </c>
      <c r="C12" s="83">
        <f>INDEX('R-Recreation'!$F$6:$F$10,MATCH(Table19578101112131423617272815161718720232529[[#This Row],[a]],'R-Recreation'!$B$6:$B$10,0))</f>
        <v>2029</v>
      </c>
      <c r="D12" s="83">
        <f>INDEX('R-Recreation'!$G$6:$G$10,MATCH(Table19578101112131423617272815161718720232529[[#This Row],[a]],'R-Recreation'!$B$6:$B$10,0))</f>
        <v>2031</v>
      </c>
      <c r="E12" s="84">
        <f>(D12-C12)+1</f>
        <v>3</v>
      </c>
      <c r="F12" s="91">
        <f>INDEX('R-Recreation'!$N$6:$N$10,MATCH(Table19578101112131423617272815161718720232529[[#This Row],[a]],'R-Recreation'!$B$6:$B$10,0))</f>
        <v>47802095.325000003</v>
      </c>
      <c r="G12" s="85"/>
      <c r="H12" s="86">
        <f>+Table19578101112131423617272815161718720232529[[#This Row],[f]]-Table19578101112131423617272815161718720232529[[#This Row],[g]]</f>
        <v>47802095.325000003</v>
      </c>
      <c r="I12" s="92">
        <f>INDEX('R-Recreation'!$H$6:$H$10,MATCH(Table19578101112131423617272815161718720232529[[#This Row],[a]],'R-Recreation'!$B$6:$B$10,0))</f>
        <v>0.47</v>
      </c>
      <c r="J12" s="87">
        <f>1-Table19578101112131423617272815161718720232529[[#This Row],[i]]</f>
        <v>0.53</v>
      </c>
      <c r="K12" s="88">
        <f>(Table19578101112131423617272815161718720232529[[#This Row],[h]]*Table19578101112131423617272815161718720232529[[#This Row],[i]])</f>
        <v>22466984.802749999</v>
      </c>
      <c r="L12" s="39" t="str">
        <f t="shared" ref="L12:AA14" si="4">IF(AND(L$10=$C12,L$10=$D12),(($K12/$E12)*L$6),IF(AND(L$10&gt;=$C12,L$10&lt;=$D12),(($K12/$E12)*L$6),""))</f>
        <v/>
      </c>
      <c r="M12" s="39" t="str">
        <f t="shared" si="4"/>
        <v/>
      </c>
      <c r="N12" s="39" t="str">
        <f>IF(AND(N$10=$C12,N$10=$D12),(($K12/$E12)*N$6),IF(AND(N$10&gt;=$C12,N$10&lt;=$D12),(($K12/$E12)*N$6),""))</f>
        <v/>
      </c>
      <c r="O12" s="39">
        <f t="shared" si="4"/>
        <v>8064828.4353663158</v>
      </c>
      <c r="P12" s="39">
        <f t="shared" si="4"/>
        <v>8266449.1462504724</v>
      </c>
      <c r="Q12" s="39">
        <f t="shared" si="4"/>
        <v>8473110.3749067336</v>
      </c>
      <c r="R12" s="39" t="str">
        <f t="shared" si="4"/>
        <v/>
      </c>
      <c r="S12" s="39" t="str">
        <f t="shared" si="4"/>
        <v/>
      </c>
      <c r="T12" s="39" t="str">
        <f t="shared" si="4"/>
        <v/>
      </c>
      <c r="U12" s="39" t="str">
        <f t="shared" si="4"/>
        <v/>
      </c>
      <c r="V12" s="39" t="str">
        <f t="shared" si="4"/>
        <v/>
      </c>
      <c r="W12" s="39" t="str">
        <f t="shared" si="4"/>
        <v/>
      </c>
      <c r="X12" s="39" t="str">
        <f t="shared" si="4"/>
        <v/>
      </c>
      <c r="Y12" s="39" t="str">
        <f t="shared" si="4"/>
        <v/>
      </c>
      <c r="Z12" s="39" t="str">
        <f t="shared" si="4"/>
        <v/>
      </c>
      <c r="AA12" s="39" t="str">
        <f t="shared" si="4"/>
        <v/>
      </c>
      <c r="AB12" s="39" t="str">
        <f t="shared" ref="AB12:AQ14" si="5">IF(AND(AB$10=$C12,AB$10=$D12),(($K12/$E12)*AB$6),IF(AND(AB$10&gt;=$C12,AB$10&lt;=$D12),(($K12/$E12)*AB$6),""))</f>
        <v/>
      </c>
      <c r="AC12" s="39" t="str">
        <f t="shared" si="5"/>
        <v/>
      </c>
      <c r="AD12" s="39" t="str">
        <f t="shared" si="5"/>
        <v/>
      </c>
      <c r="AE12" s="39" t="str">
        <f t="shared" si="5"/>
        <v/>
      </c>
      <c r="AF12" s="39" t="str">
        <f t="shared" si="5"/>
        <v/>
      </c>
      <c r="AG12" s="39" t="str">
        <f t="shared" si="5"/>
        <v/>
      </c>
      <c r="AH12" s="39" t="str">
        <f t="shared" si="5"/>
        <v/>
      </c>
      <c r="AI12" s="39" t="str">
        <f t="shared" si="5"/>
        <v/>
      </c>
      <c r="AJ12" s="39" t="str">
        <f t="shared" si="5"/>
        <v/>
      </c>
      <c r="AK12" s="39" t="str">
        <f t="shared" si="5"/>
        <v/>
      </c>
      <c r="AL12" s="39" t="str">
        <f t="shared" si="5"/>
        <v/>
      </c>
      <c r="AM12" s="39" t="str">
        <f t="shared" si="5"/>
        <v/>
      </c>
      <c r="AN12" s="39" t="str">
        <f t="shared" si="5"/>
        <v/>
      </c>
      <c r="AO12" s="39" t="str">
        <f t="shared" si="5"/>
        <v/>
      </c>
      <c r="AP12" s="39" t="str">
        <f t="shared" si="5"/>
        <v/>
      </c>
      <c r="AQ12" s="39" t="str">
        <f t="shared" si="5"/>
        <v/>
      </c>
      <c r="AR12" s="39" t="str">
        <f t="shared" ref="AR12:BG14" si="6">IF(AND(AR$10=$C12,AR$10=$D12),(($K12/$E12)*AR$6),IF(AND(AR$10&gt;=$C12,AR$10&lt;=$D12),(($K12/$E12)*AR$6),""))</f>
        <v/>
      </c>
      <c r="AS12" s="39" t="str">
        <f t="shared" si="6"/>
        <v/>
      </c>
      <c r="AT12" s="39" t="str">
        <f t="shared" si="6"/>
        <v/>
      </c>
      <c r="AU12" s="39" t="str">
        <f t="shared" si="6"/>
        <v/>
      </c>
      <c r="AV12" s="39" t="str">
        <f t="shared" si="6"/>
        <v/>
      </c>
      <c r="AW12" s="39" t="str">
        <f t="shared" si="6"/>
        <v/>
      </c>
      <c r="AX12" s="39" t="str">
        <f t="shared" si="6"/>
        <v/>
      </c>
      <c r="AY12" s="39" t="str">
        <f t="shared" si="6"/>
        <v/>
      </c>
      <c r="AZ12" s="39" t="str">
        <f t="shared" si="6"/>
        <v/>
      </c>
      <c r="BA12" s="39" t="str">
        <f t="shared" si="6"/>
        <v/>
      </c>
      <c r="BB12" s="39" t="str">
        <f t="shared" si="6"/>
        <v/>
      </c>
      <c r="BC12" s="39" t="str">
        <f t="shared" si="6"/>
        <v/>
      </c>
      <c r="BD12" s="39" t="str">
        <f t="shared" si="6"/>
        <v/>
      </c>
      <c r="BE12" s="39" t="str">
        <f t="shared" si="6"/>
        <v/>
      </c>
      <c r="BF12" s="39" t="str">
        <f t="shared" si="6"/>
        <v/>
      </c>
      <c r="BG12" s="39" t="str">
        <f t="shared" si="6"/>
        <v/>
      </c>
      <c r="BH12" s="39" t="str">
        <f t="shared" ref="BH12:BS14" si="7">IF(AND(BH$10=$C12,BH$10=$D12),(($K12/$E12)*BH$6),IF(AND(BH$10&gt;=$C12,BH$10&lt;=$D12),(($K12/$E12)*BH$6),""))</f>
        <v/>
      </c>
      <c r="BI12" s="39" t="str">
        <f t="shared" si="7"/>
        <v/>
      </c>
      <c r="BJ12" s="39" t="str">
        <f t="shared" si="7"/>
        <v/>
      </c>
      <c r="BK12" s="39" t="str">
        <f t="shared" si="7"/>
        <v/>
      </c>
      <c r="BL12" s="39" t="str">
        <f t="shared" si="7"/>
        <v/>
      </c>
      <c r="BM12" s="39" t="str">
        <f t="shared" si="7"/>
        <v/>
      </c>
      <c r="BN12" s="39" t="str">
        <f t="shared" si="7"/>
        <v/>
      </c>
      <c r="BO12" s="39" t="str">
        <f t="shared" si="7"/>
        <v/>
      </c>
      <c r="BP12" s="39" t="str">
        <f t="shared" si="7"/>
        <v/>
      </c>
      <c r="BQ12" s="39" t="str">
        <f t="shared" si="7"/>
        <v/>
      </c>
      <c r="BR12" s="39" t="str">
        <f t="shared" si="7"/>
        <v/>
      </c>
      <c r="BS12" s="39" t="str">
        <f t="shared" si="7"/>
        <v/>
      </c>
      <c r="BT12" s="106">
        <f>SUM(L12:BS12)</f>
        <v>24804387.956523523</v>
      </c>
    </row>
    <row r="13" spans="1:73" ht="13.5" customHeight="1">
      <c r="A13" s="174" t="s">
        <v>120</v>
      </c>
      <c r="B13" s="175" t="str">
        <f>INDEX('R-Recreation'!$C$6:$C$34,MATCH(Table19578101112131423617272815161718720232529[[#This Row],[a]],'R-Recreation'!$B$6:$B$34,0))</f>
        <v>Recreation Centre Expansion - Leisure Water and Other - Design Work</v>
      </c>
      <c r="C13" s="139">
        <f>INDEX('R-Recreation'!$F$6:$F$10,MATCH(Table19578101112131423617272815161718720232529[[#This Row],[a]],'R-Recreation'!$B$6:$B$10,0))</f>
        <v>2026</v>
      </c>
      <c r="D13" s="140">
        <f>INDEX('R-Recreation'!$G$6:$G$10,MATCH(Table19578101112131423617272815161718720232529[[#This Row],[a]],'R-Recreation'!$B$6:$B$10,0))</f>
        <v>2026</v>
      </c>
      <c r="E13" s="141">
        <f>(D13-C13)+1</f>
        <v>1</v>
      </c>
      <c r="F13" s="142">
        <f>INDEX('R-Recreation'!$N$6:$N$10,MATCH(Table19578101112131423617272815161718720232529[[#This Row],[a]],'R-Recreation'!$B$6:$B$10,0))</f>
        <v>4576500</v>
      </c>
      <c r="G13" s="143"/>
      <c r="H13" s="144">
        <f>+Table19578101112131423617272815161718720232529[[#This Row],[f]]-Table19578101112131423617272815161718720232529[[#This Row],[g]]</f>
        <v>4576500</v>
      </c>
      <c r="I13" s="145">
        <f>INDEX('R-Recreation'!$H$6:$H$10,MATCH(Table19578101112131423617272815161718720232529[[#This Row],[a]],'R-Recreation'!$B$6:$B$10,0))</f>
        <v>0.47</v>
      </c>
      <c r="J13" s="146">
        <f>1-Table19578101112131423617272815161718720232529[[#This Row],[i]]</f>
        <v>0.53</v>
      </c>
      <c r="K13" s="147">
        <f>(Table19578101112131423617272815161718720232529[[#This Row],[h]]*Table19578101112131423617272815161718720232529[[#This Row],[i]])</f>
        <v>2150955</v>
      </c>
      <c r="L13" s="39">
        <f>Table19578101112131423617272815161718720232529[[#This Row],[k]]</f>
        <v>2150955</v>
      </c>
      <c r="M13" s="39" t="str">
        <f t="shared" si="4"/>
        <v/>
      </c>
      <c r="N13" s="39" t="str">
        <f>IF(AND(N$10=$C13,N$10=$D13),(($K13/$E13)*N$6),IF(AND(N$10&gt;=$C13,N$10&lt;=$D13),(($K13/$E13)*N$6),""))</f>
        <v/>
      </c>
      <c r="O13" s="39" t="str">
        <f t="shared" si="4"/>
        <v/>
      </c>
      <c r="P13" s="39" t="str">
        <f t="shared" si="4"/>
        <v/>
      </c>
      <c r="Q13" s="39" t="str">
        <f t="shared" si="4"/>
        <v/>
      </c>
      <c r="R13" s="39" t="str">
        <f t="shared" si="4"/>
        <v/>
      </c>
      <c r="S13" s="39" t="str">
        <f t="shared" si="4"/>
        <v/>
      </c>
      <c r="T13" s="39" t="str">
        <f t="shared" si="4"/>
        <v/>
      </c>
      <c r="U13" s="39" t="str">
        <f t="shared" si="4"/>
        <v/>
      </c>
      <c r="V13" s="39" t="str">
        <f t="shared" si="4"/>
        <v/>
      </c>
      <c r="W13" s="39" t="str">
        <f t="shared" si="4"/>
        <v/>
      </c>
      <c r="X13" s="39" t="str">
        <f t="shared" si="4"/>
        <v/>
      </c>
      <c r="Y13" s="39" t="str">
        <f t="shared" si="4"/>
        <v/>
      </c>
      <c r="Z13" s="39" t="str">
        <f t="shared" si="4"/>
        <v/>
      </c>
      <c r="AA13" s="39" t="str">
        <f t="shared" si="4"/>
        <v/>
      </c>
      <c r="AB13" s="39" t="str">
        <f t="shared" si="5"/>
        <v/>
      </c>
      <c r="AC13" s="39" t="str">
        <f t="shared" si="5"/>
        <v/>
      </c>
      <c r="AD13" s="39" t="str">
        <f t="shared" si="5"/>
        <v/>
      </c>
      <c r="AE13" s="39" t="str">
        <f t="shared" si="5"/>
        <v/>
      </c>
      <c r="AF13" s="39" t="str">
        <f t="shared" si="5"/>
        <v/>
      </c>
      <c r="AG13" s="39" t="str">
        <f t="shared" si="5"/>
        <v/>
      </c>
      <c r="AH13" s="39" t="str">
        <f t="shared" si="5"/>
        <v/>
      </c>
      <c r="AI13" s="39" t="str">
        <f t="shared" si="5"/>
        <v/>
      </c>
      <c r="AJ13" s="39" t="str">
        <f t="shared" si="5"/>
        <v/>
      </c>
      <c r="AK13" s="39" t="str">
        <f t="shared" si="5"/>
        <v/>
      </c>
      <c r="AL13" s="39" t="str">
        <f t="shared" si="5"/>
        <v/>
      </c>
      <c r="AM13" s="39" t="str">
        <f t="shared" si="5"/>
        <v/>
      </c>
      <c r="AN13" s="39" t="str">
        <f t="shared" si="5"/>
        <v/>
      </c>
      <c r="AO13" s="39" t="str">
        <f t="shared" si="5"/>
        <v/>
      </c>
      <c r="AP13" s="39" t="str">
        <f t="shared" si="5"/>
        <v/>
      </c>
      <c r="AQ13" s="39" t="str">
        <f t="shared" si="5"/>
        <v/>
      </c>
      <c r="AR13" s="39" t="str">
        <f t="shared" si="6"/>
        <v/>
      </c>
      <c r="AS13" s="39" t="str">
        <f t="shared" si="6"/>
        <v/>
      </c>
      <c r="AT13" s="39" t="str">
        <f t="shared" si="6"/>
        <v/>
      </c>
      <c r="AU13" s="39" t="str">
        <f t="shared" si="6"/>
        <v/>
      </c>
      <c r="AV13" s="39" t="str">
        <f t="shared" si="6"/>
        <v/>
      </c>
      <c r="AW13" s="39" t="str">
        <f t="shared" si="6"/>
        <v/>
      </c>
      <c r="AX13" s="39" t="str">
        <f t="shared" si="6"/>
        <v/>
      </c>
      <c r="AY13" s="39" t="str">
        <f t="shared" si="6"/>
        <v/>
      </c>
      <c r="AZ13" s="39" t="str">
        <f t="shared" si="6"/>
        <v/>
      </c>
      <c r="BA13" s="39" t="str">
        <f t="shared" si="6"/>
        <v/>
      </c>
      <c r="BB13" s="39" t="str">
        <f t="shared" si="6"/>
        <v/>
      </c>
      <c r="BC13" s="39" t="str">
        <f t="shared" si="6"/>
        <v/>
      </c>
      <c r="BD13" s="39" t="str">
        <f t="shared" si="6"/>
        <v/>
      </c>
      <c r="BE13" s="39" t="str">
        <f t="shared" si="6"/>
        <v/>
      </c>
      <c r="BF13" s="39" t="str">
        <f t="shared" si="6"/>
        <v/>
      </c>
      <c r="BG13" s="39" t="str">
        <f t="shared" si="6"/>
        <v/>
      </c>
      <c r="BH13" s="39" t="str">
        <f t="shared" si="7"/>
        <v/>
      </c>
      <c r="BI13" s="39" t="str">
        <f t="shared" si="7"/>
        <v/>
      </c>
      <c r="BJ13" s="39" t="str">
        <f t="shared" si="7"/>
        <v/>
      </c>
      <c r="BK13" s="39" t="str">
        <f t="shared" si="7"/>
        <v/>
      </c>
      <c r="BL13" s="39" t="str">
        <f t="shared" si="7"/>
        <v/>
      </c>
      <c r="BM13" s="39" t="str">
        <f t="shared" si="7"/>
        <v/>
      </c>
      <c r="BN13" s="39" t="str">
        <f t="shared" si="7"/>
        <v/>
      </c>
      <c r="BO13" s="39" t="str">
        <f t="shared" si="7"/>
        <v/>
      </c>
      <c r="BP13" s="39" t="str">
        <f t="shared" si="7"/>
        <v/>
      </c>
      <c r="BQ13" s="39" t="str">
        <f t="shared" si="7"/>
        <v/>
      </c>
      <c r="BR13" s="39" t="str">
        <f t="shared" si="7"/>
        <v/>
      </c>
      <c r="BS13" s="39" t="str">
        <f t="shared" si="7"/>
        <v/>
      </c>
      <c r="BT13" s="106">
        <f>SUM(L13:BS13)</f>
        <v>2150955</v>
      </c>
    </row>
    <row r="14" spans="1:73" ht="13.5" customHeight="1" thickBot="1">
      <c r="A14" s="173" t="s">
        <v>47</v>
      </c>
      <c r="B14" s="172" t="str">
        <f>INDEX('R-Recreation'!$C$6:$C$34,MATCH(Table19578101112131423617272815161718720232529[[#This Row],[a]],'R-Recreation'!$B$6:$B$34,0))</f>
        <v>Flatwater Expansion</v>
      </c>
      <c r="C14" s="107">
        <f>INDEX('R-Recreation'!$F$6:$F$10,MATCH(Table19578101112131423617272815161718720232529[[#This Row],[a]],'R-Recreation'!$B$6:$B$10,0))</f>
        <v>2033</v>
      </c>
      <c r="D14" s="107">
        <f>INDEX('R-Recreation'!$G$6:$G$10,MATCH(Table19578101112131423617272815161718720232529[[#This Row],[a]],'R-Recreation'!$B$6:$B$10,0))</f>
        <v>2034</v>
      </c>
      <c r="E14" s="108">
        <f t="shared" ref="E14" si="8">(D14-C14)+1</f>
        <v>2</v>
      </c>
      <c r="F14" s="93">
        <f>INDEX('R-Recreation'!$N$6:$N$10,MATCH(Table19578101112131423617272815161718720232529[[#This Row],[a]],'R-Recreation'!$B$6:$B$10,0))</f>
        <v>13980752.887500001</v>
      </c>
      <c r="G14" s="85"/>
      <c r="H14" s="89">
        <f>+Table19578101112131423617272815161718720232529[[#This Row],[f]]-Table19578101112131423617272815161718720232529[[#This Row],[g]]</f>
        <v>13980752.887500001</v>
      </c>
      <c r="I14" s="94">
        <f>INDEX('R-Recreation'!$H$6:$H$10,MATCH(Table19578101112131423617272815161718720232529[[#This Row],[a]],'R-Recreation'!$B$6:$B$10,0))</f>
        <v>1</v>
      </c>
      <c r="J14" s="87">
        <f>1-Table19578101112131423617272815161718720232529[[#This Row],[i]]</f>
        <v>0</v>
      </c>
      <c r="K14" s="90">
        <f>(Table19578101112131423617272815161718720232529[[#This Row],[h]]*Table19578101112131423617272815161718720232529[[#This Row],[i]])</f>
        <v>13980752.887500001</v>
      </c>
      <c r="L14" s="39" t="str">
        <f t="shared" si="4"/>
        <v/>
      </c>
      <c r="M14" s="39" t="str">
        <f t="shared" si="4"/>
        <v/>
      </c>
      <c r="N14" s="39" t="str">
        <f t="shared" si="4"/>
        <v/>
      </c>
      <c r="O14" s="39" t="str">
        <f t="shared" si="4"/>
        <v/>
      </c>
      <c r="P14" s="39" t="str">
        <f t="shared" si="4"/>
        <v/>
      </c>
      <c r="Q14" s="39" t="str">
        <f t="shared" si="4"/>
        <v/>
      </c>
      <c r="R14" s="39" t="str">
        <f t="shared" si="4"/>
        <v/>
      </c>
      <c r="S14" s="39">
        <f t="shared" si="4"/>
        <v>8309360.8914634865</v>
      </c>
      <c r="T14" s="39">
        <f t="shared" si="4"/>
        <v>8517094.9137500729</v>
      </c>
      <c r="U14" s="39" t="str">
        <f t="shared" si="4"/>
        <v/>
      </c>
      <c r="V14" s="39" t="str">
        <f t="shared" si="4"/>
        <v/>
      </c>
      <c r="W14" s="39" t="str">
        <f t="shared" si="4"/>
        <v/>
      </c>
      <c r="X14" s="39" t="str">
        <f t="shared" si="4"/>
        <v/>
      </c>
      <c r="Y14" s="39" t="str">
        <f t="shared" si="4"/>
        <v/>
      </c>
      <c r="Z14" s="39" t="str">
        <f t="shared" si="4"/>
        <v/>
      </c>
      <c r="AA14" s="39" t="str">
        <f t="shared" si="4"/>
        <v/>
      </c>
      <c r="AB14" s="39" t="str">
        <f t="shared" si="5"/>
        <v/>
      </c>
      <c r="AC14" s="39" t="str">
        <f t="shared" si="5"/>
        <v/>
      </c>
      <c r="AD14" s="39" t="str">
        <f t="shared" si="5"/>
        <v/>
      </c>
      <c r="AE14" s="39" t="str">
        <f t="shared" si="5"/>
        <v/>
      </c>
      <c r="AF14" s="39" t="str">
        <f t="shared" si="5"/>
        <v/>
      </c>
      <c r="AG14" s="39" t="str">
        <f t="shared" si="5"/>
        <v/>
      </c>
      <c r="AH14" s="39" t="str">
        <f t="shared" si="5"/>
        <v/>
      </c>
      <c r="AI14" s="39" t="str">
        <f t="shared" si="5"/>
        <v/>
      </c>
      <c r="AJ14" s="39" t="str">
        <f t="shared" si="5"/>
        <v/>
      </c>
      <c r="AK14" s="39" t="str">
        <f t="shared" si="5"/>
        <v/>
      </c>
      <c r="AL14" s="39" t="str">
        <f t="shared" si="5"/>
        <v/>
      </c>
      <c r="AM14" s="39" t="str">
        <f t="shared" si="5"/>
        <v/>
      </c>
      <c r="AN14" s="39" t="str">
        <f t="shared" si="5"/>
        <v/>
      </c>
      <c r="AO14" s="39" t="str">
        <f t="shared" si="5"/>
        <v/>
      </c>
      <c r="AP14" s="39" t="str">
        <f t="shared" si="5"/>
        <v/>
      </c>
      <c r="AQ14" s="39" t="str">
        <f t="shared" si="5"/>
        <v/>
      </c>
      <c r="AR14" s="39" t="str">
        <f t="shared" si="6"/>
        <v/>
      </c>
      <c r="AS14" s="39" t="str">
        <f t="shared" si="6"/>
        <v/>
      </c>
      <c r="AT14" s="39" t="str">
        <f t="shared" si="6"/>
        <v/>
      </c>
      <c r="AU14" s="39" t="str">
        <f t="shared" si="6"/>
        <v/>
      </c>
      <c r="AV14" s="39" t="str">
        <f t="shared" si="6"/>
        <v/>
      </c>
      <c r="AW14" s="39" t="str">
        <f t="shared" si="6"/>
        <v/>
      </c>
      <c r="AX14" s="39" t="str">
        <f t="shared" si="6"/>
        <v/>
      </c>
      <c r="AY14" s="39" t="str">
        <f t="shared" si="6"/>
        <v/>
      </c>
      <c r="AZ14" s="39" t="str">
        <f t="shared" si="6"/>
        <v/>
      </c>
      <c r="BA14" s="39" t="str">
        <f t="shared" si="6"/>
        <v/>
      </c>
      <c r="BB14" s="39" t="str">
        <f t="shared" si="6"/>
        <v/>
      </c>
      <c r="BC14" s="39" t="str">
        <f t="shared" si="6"/>
        <v/>
      </c>
      <c r="BD14" s="39" t="str">
        <f t="shared" si="6"/>
        <v/>
      </c>
      <c r="BE14" s="39" t="str">
        <f t="shared" si="6"/>
        <v/>
      </c>
      <c r="BF14" s="39" t="str">
        <f t="shared" si="6"/>
        <v/>
      </c>
      <c r="BG14" s="39" t="str">
        <f t="shared" si="6"/>
        <v/>
      </c>
      <c r="BH14" s="39" t="str">
        <f t="shared" si="7"/>
        <v/>
      </c>
      <c r="BI14" s="39" t="str">
        <f t="shared" si="7"/>
        <v/>
      </c>
      <c r="BJ14" s="39" t="str">
        <f t="shared" si="7"/>
        <v/>
      </c>
      <c r="BK14" s="39" t="str">
        <f t="shared" si="7"/>
        <v/>
      </c>
      <c r="BL14" s="39" t="str">
        <f t="shared" si="7"/>
        <v/>
      </c>
      <c r="BM14" s="39" t="str">
        <f t="shared" si="7"/>
        <v/>
      </c>
      <c r="BN14" s="39" t="str">
        <f t="shared" si="7"/>
        <v/>
      </c>
      <c r="BO14" s="39" t="str">
        <f t="shared" si="7"/>
        <v/>
      </c>
      <c r="BP14" s="39" t="str">
        <f t="shared" si="7"/>
        <v/>
      </c>
      <c r="BQ14" s="39" t="str">
        <f t="shared" si="7"/>
        <v/>
      </c>
      <c r="BR14" s="39" t="str">
        <f t="shared" si="7"/>
        <v/>
      </c>
      <c r="BS14" s="39" t="str">
        <f t="shared" si="7"/>
        <v/>
      </c>
      <c r="BT14" s="106">
        <f>SUM(L14:BS14)</f>
        <v>16826455.805213559</v>
      </c>
    </row>
    <row r="15" spans="1:73" ht="15.6" thickTop="1" thickBot="1">
      <c r="A15" s="6"/>
      <c r="B15" s="6"/>
      <c r="C15" s="6"/>
      <c r="D15" s="6"/>
      <c r="E15" s="6"/>
      <c r="F15" s="12">
        <f>SUM(Table19578101112131423617272815161718720232529[f])</f>
        <v>66359348.212500006</v>
      </c>
      <c r="G15" s="12"/>
      <c r="H15" s="12"/>
      <c r="I15" s="12"/>
      <c r="J15" s="12"/>
      <c r="K15" s="7">
        <f>SUM(Table19578101112131423617272815161718720232529[k])</f>
        <v>38598692.690250002</v>
      </c>
      <c r="L15" s="7">
        <f t="shared" ref="L15:AQ15" si="9">+SUM(L12:L14)</f>
        <v>2150955</v>
      </c>
      <c r="M15" s="7">
        <f t="shared" si="9"/>
        <v>0</v>
      </c>
      <c r="N15" s="7">
        <f t="shared" si="9"/>
        <v>0</v>
      </c>
      <c r="O15" s="7">
        <f t="shared" si="9"/>
        <v>8064828.4353663158</v>
      </c>
      <c r="P15" s="7">
        <f t="shared" si="9"/>
        <v>8266449.1462504724</v>
      </c>
      <c r="Q15" s="7">
        <f t="shared" si="9"/>
        <v>8473110.3749067336</v>
      </c>
      <c r="R15" s="7">
        <f t="shared" si="9"/>
        <v>0</v>
      </c>
      <c r="S15" s="7">
        <f t="shared" si="9"/>
        <v>8309360.8914634865</v>
      </c>
      <c r="T15" s="7">
        <f t="shared" si="9"/>
        <v>8517094.9137500729</v>
      </c>
      <c r="U15" s="7">
        <f t="shared" si="9"/>
        <v>0</v>
      </c>
      <c r="V15" s="7">
        <f t="shared" si="9"/>
        <v>0</v>
      </c>
      <c r="W15" s="7">
        <f t="shared" si="9"/>
        <v>0</v>
      </c>
      <c r="X15" s="7">
        <f t="shared" si="9"/>
        <v>0</v>
      </c>
      <c r="Y15" s="7">
        <f t="shared" si="9"/>
        <v>0</v>
      </c>
      <c r="Z15" s="7">
        <f t="shared" si="9"/>
        <v>0</v>
      </c>
      <c r="AA15" s="7">
        <f t="shared" si="9"/>
        <v>0</v>
      </c>
      <c r="AB15" s="7">
        <f t="shared" si="9"/>
        <v>0</v>
      </c>
      <c r="AC15" s="7">
        <f t="shared" si="9"/>
        <v>0</v>
      </c>
      <c r="AD15" s="7">
        <f t="shared" si="9"/>
        <v>0</v>
      </c>
      <c r="AE15" s="7">
        <f t="shared" si="9"/>
        <v>0</v>
      </c>
      <c r="AF15" s="7">
        <f t="shared" si="9"/>
        <v>0</v>
      </c>
      <c r="AG15" s="7">
        <f t="shared" si="9"/>
        <v>0</v>
      </c>
      <c r="AH15" s="7">
        <f t="shared" si="9"/>
        <v>0</v>
      </c>
      <c r="AI15" s="7">
        <f t="shared" si="9"/>
        <v>0</v>
      </c>
      <c r="AJ15" s="7">
        <f t="shared" si="9"/>
        <v>0</v>
      </c>
      <c r="AK15" s="7">
        <f t="shared" si="9"/>
        <v>0</v>
      </c>
      <c r="AL15" s="7">
        <f t="shared" si="9"/>
        <v>0</v>
      </c>
      <c r="AM15" s="7">
        <f t="shared" si="9"/>
        <v>0</v>
      </c>
      <c r="AN15" s="7">
        <f t="shared" si="9"/>
        <v>0</v>
      </c>
      <c r="AO15" s="7">
        <f t="shared" si="9"/>
        <v>0</v>
      </c>
      <c r="AP15" s="7">
        <f t="shared" si="9"/>
        <v>0</v>
      </c>
      <c r="AQ15" s="7">
        <f t="shared" si="9"/>
        <v>0</v>
      </c>
      <c r="AR15" s="7">
        <f t="shared" ref="AR15:BS15" si="10">+SUM(AR12:AR14)</f>
        <v>0</v>
      </c>
      <c r="AS15" s="7">
        <f t="shared" si="10"/>
        <v>0</v>
      </c>
      <c r="AT15" s="7">
        <f t="shared" si="10"/>
        <v>0</v>
      </c>
      <c r="AU15" s="7">
        <f t="shared" si="10"/>
        <v>0</v>
      </c>
      <c r="AV15" s="7">
        <f t="shared" si="10"/>
        <v>0</v>
      </c>
      <c r="AW15" s="7">
        <f t="shared" si="10"/>
        <v>0</v>
      </c>
      <c r="AX15" s="7">
        <f t="shared" si="10"/>
        <v>0</v>
      </c>
      <c r="AY15" s="7">
        <f t="shared" si="10"/>
        <v>0</v>
      </c>
      <c r="AZ15" s="7">
        <f t="shared" si="10"/>
        <v>0</v>
      </c>
      <c r="BA15" s="7">
        <f t="shared" si="10"/>
        <v>0</v>
      </c>
      <c r="BB15" s="7">
        <f t="shared" si="10"/>
        <v>0</v>
      </c>
      <c r="BC15" s="7">
        <f t="shared" si="10"/>
        <v>0</v>
      </c>
      <c r="BD15" s="7">
        <f t="shared" si="10"/>
        <v>0</v>
      </c>
      <c r="BE15" s="7">
        <f t="shared" si="10"/>
        <v>0</v>
      </c>
      <c r="BF15" s="7">
        <f t="shared" si="10"/>
        <v>0</v>
      </c>
      <c r="BG15" s="7">
        <f t="shared" si="10"/>
        <v>0</v>
      </c>
      <c r="BH15" s="7">
        <f t="shared" si="10"/>
        <v>0</v>
      </c>
      <c r="BI15" s="7">
        <f t="shared" si="10"/>
        <v>0</v>
      </c>
      <c r="BJ15" s="7">
        <f t="shared" si="10"/>
        <v>0</v>
      </c>
      <c r="BK15" s="7">
        <f t="shared" si="10"/>
        <v>0</v>
      </c>
      <c r="BL15" s="7">
        <f t="shared" si="10"/>
        <v>0</v>
      </c>
      <c r="BM15" s="7">
        <f t="shared" si="10"/>
        <v>0</v>
      </c>
      <c r="BN15" s="7">
        <f t="shared" si="10"/>
        <v>0</v>
      </c>
      <c r="BO15" s="7">
        <f t="shared" si="10"/>
        <v>0</v>
      </c>
      <c r="BP15" s="7">
        <f t="shared" si="10"/>
        <v>0</v>
      </c>
      <c r="BQ15" s="7">
        <f t="shared" si="10"/>
        <v>0</v>
      </c>
      <c r="BR15" s="7">
        <f>+SUM(BR12:BR14)</f>
        <v>0</v>
      </c>
      <c r="BS15" s="7">
        <f t="shared" si="10"/>
        <v>0</v>
      </c>
      <c r="BT15" s="7">
        <f>SUM(BT12:BT14)</f>
        <v>43781798.761737078</v>
      </c>
    </row>
    <row r="17" spans="1:16" ht="15" thickBot="1">
      <c r="G17"/>
      <c r="H17"/>
      <c r="I17"/>
    </row>
    <row r="18" spans="1:16">
      <c r="A18" s="95"/>
      <c r="B18" s="19">
        <v>1</v>
      </c>
      <c r="C18" s="20">
        <v>2</v>
      </c>
      <c r="D18" s="20">
        <v>3</v>
      </c>
      <c r="E18" s="20">
        <v>4</v>
      </c>
      <c r="F18" s="20">
        <v>5</v>
      </c>
      <c r="G18" s="20">
        <v>6</v>
      </c>
      <c r="H18" s="20"/>
      <c r="I18" s="20">
        <v>7</v>
      </c>
      <c r="J18" s="20">
        <v>8</v>
      </c>
      <c r="K18" s="20">
        <v>9</v>
      </c>
      <c r="L18" s="24">
        <v>10</v>
      </c>
      <c r="M18" s="25">
        <v>11</v>
      </c>
      <c r="N18" s="26">
        <v>12</v>
      </c>
    </row>
    <row r="19" spans="1:16" ht="15" customHeight="1">
      <c r="A19" s="96"/>
      <c r="B19" s="68" t="s">
        <v>39</v>
      </c>
      <c r="C19" s="504" t="s">
        <v>38</v>
      </c>
      <c r="D19" s="504" t="s">
        <v>139</v>
      </c>
      <c r="E19" s="504" t="s">
        <v>143</v>
      </c>
      <c r="F19" s="504" t="s">
        <v>127</v>
      </c>
      <c r="G19" s="22" t="s">
        <v>37</v>
      </c>
      <c r="H19" s="504" t="s">
        <v>125</v>
      </c>
      <c r="I19" s="23"/>
      <c r="J19" s="525" t="s">
        <v>36</v>
      </c>
      <c r="K19" s="504" t="s">
        <v>34</v>
      </c>
      <c r="L19" s="521" t="s">
        <v>35</v>
      </c>
      <c r="M19" s="522"/>
      <c r="N19" s="520" t="s">
        <v>33</v>
      </c>
      <c r="P19" s="4"/>
    </row>
    <row r="20" spans="1:16">
      <c r="A20" s="96"/>
      <c r="B20" s="68"/>
      <c r="C20" s="504"/>
      <c r="D20" s="504"/>
      <c r="E20" s="504"/>
      <c r="F20" s="504"/>
      <c r="G20" s="22"/>
      <c r="H20" s="504"/>
      <c r="I20" s="202">
        <v>77054.632372799373</v>
      </c>
      <c r="J20" s="525"/>
      <c r="K20" s="504"/>
      <c r="L20" s="521"/>
      <c r="M20" s="522"/>
      <c r="N20" s="520"/>
      <c r="P20" s="4"/>
    </row>
    <row r="21" spans="1:16">
      <c r="A21" s="95"/>
      <c r="B21" s="21"/>
      <c r="C21" s="504"/>
      <c r="D21" s="504"/>
      <c r="E21" s="504"/>
      <c r="F21" s="504"/>
      <c r="G21" s="22"/>
      <c r="H21" s="504"/>
      <c r="I21" s="22"/>
      <c r="J21" s="22"/>
      <c r="K21" s="504"/>
      <c r="L21" s="18"/>
      <c r="M21" s="17"/>
      <c r="N21" s="520"/>
    </row>
    <row r="22" spans="1:16">
      <c r="A22" s="95"/>
      <c r="B22" s="21"/>
      <c r="C22" s="504"/>
      <c r="D22" s="504"/>
      <c r="E22" s="48"/>
      <c r="F22" s="48"/>
      <c r="G22" s="22"/>
      <c r="H22" s="504"/>
      <c r="I22" s="77"/>
      <c r="J22" s="22"/>
      <c r="K22" s="22"/>
      <c r="L22" s="47" t="s">
        <v>7</v>
      </c>
      <c r="M22" s="78" t="s">
        <v>8</v>
      </c>
      <c r="N22" s="520"/>
    </row>
    <row r="23" spans="1:16">
      <c r="A23" s="97"/>
      <c r="B23" s="79"/>
      <c r="C23" s="504"/>
      <c r="D23" s="183" t="s">
        <v>7</v>
      </c>
      <c r="E23" s="48" t="s">
        <v>8</v>
      </c>
      <c r="F23" s="48" t="s">
        <v>8</v>
      </c>
      <c r="G23" s="22"/>
      <c r="H23" s="22"/>
      <c r="I23" s="80" t="s">
        <v>11</v>
      </c>
      <c r="J23" s="183" t="s">
        <v>7</v>
      </c>
      <c r="K23" s="22"/>
      <c r="L23" s="383">
        <f>Assumptions!$B$6</f>
        <v>2.6740000000000003E-2</v>
      </c>
      <c r="M23" s="81">
        <f>+Assumptions!$B$7</f>
        <v>4.496E-2</v>
      </c>
      <c r="N23" s="520"/>
    </row>
    <row r="24" spans="1:16" ht="15" thickBot="1">
      <c r="A24" s="97"/>
      <c r="B24" s="189"/>
      <c r="C24" s="513"/>
      <c r="D24" s="190"/>
      <c r="E24" s="191"/>
      <c r="F24" s="192"/>
      <c r="G24" s="191"/>
      <c r="H24" s="191"/>
      <c r="I24" s="191">
        <f>L10</f>
        <v>2026</v>
      </c>
      <c r="J24" s="193" t="s">
        <v>140</v>
      </c>
      <c r="K24" s="193" t="s">
        <v>141</v>
      </c>
      <c r="L24" s="194"/>
      <c r="M24" s="195"/>
      <c r="N24" s="196" t="s">
        <v>142</v>
      </c>
    </row>
    <row r="25" spans="1:16" ht="15" hidden="1" thickBot="1">
      <c r="B25" s="407">
        <v>2023</v>
      </c>
      <c r="C25" s="221"/>
      <c r="D25" s="221"/>
      <c r="E25" s="221"/>
      <c r="F25" s="222"/>
      <c r="G25" s="223"/>
      <c r="H25" s="223"/>
      <c r="I25" s="224"/>
      <c r="J25" s="224"/>
      <c r="K25" s="224"/>
      <c r="L25" s="224"/>
      <c r="M25" s="224"/>
      <c r="N25" s="408"/>
    </row>
    <row r="26" spans="1:16" ht="15" hidden="1" thickBot="1">
      <c r="B26" s="162">
        <f t="shared" ref="B26:B71" si="11">+B25+1</f>
        <v>2024</v>
      </c>
      <c r="C26" s="135"/>
      <c r="D26" s="135"/>
      <c r="E26" s="135"/>
      <c r="F26" s="134"/>
      <c r="G26" s="136"/>
      <c r="H26" s="137"/>
      <c r="I26" s="82"/>
      <c r="J26" s="82"/>
      <c r="K26" s="82"/>
      <c r="L26" s="82"/>
      <c r="M26" s="82"/>
      <c r="N26" s="409"/>
    </row>
    <row r="27" spans="1:16" ht="16.8" hidden="1" thickBot="1">
      <c r="A27" s="98"/>
      <c r="B27" s="410">
        <f t="shared" si="11"/>
        <v>2025</v>
      </c>
      <c r="C27" s="225"/>
      <c r="D27" s="225"/>
      <c r="E27" s="225"/>
      <c r="F27" s="203"/>
      <c r="G27" s="204"/>
      <c r="H27" s="205"/>
      <c r="I27" s="133"/>
      <c r="J27" s="133"/>
      <c r="K27" s="133"/>
      <c r="L27" s="133"/>
      <c r="M27" s="133"/>
      <c r="N27" s="411"/>
      <c r="P27" s="14"/>
    </row>
    <row r="28" spans="1:16" ht="16.2">
      <c r="A28" s="98"/>
      <c r="B28" s="206">
        <f t="shared" si="11"/>
        <v>2026</v>
      </c>
      <c r="C28" s="245">
        <f>Assumptions!B32</f>
        <v>2749535.8170220004</v>
      </c>
      <c r="D28" s="209">
        <v>0</v>
      </c>
      <c r="E28" s="218">
        <v>0</v>
      </c>
      <c r="F28" s="210">
        <f ca="1">OFFSET($L$15,0,B28-Assumptions!$B$3)</f>
        <v>2150955</v>
      </c>
      <c r="G28" s="207">
        <f>'Cost Recovery Timing'!R15</f>
        <v>18.475999999999999</v>
      </c>
      <c r="H28" s="165">
        <f>Assumptions!$B$24</f>
        <v>0.02</v>
      </c>
      <c r="I28" s="213">
        <f>+I20</f>
        <v>77054.632372799373</v>
      </c>
      <c r="J28" s="243">
        <f>(G28*I28*Assumptions!$B$29)+'2026 Collections Summary'!B20</f>
        <v>2179261.2373159523</v>
      </c>
      <c r="K28" s="210">
        <f ca="1">+C28+J28-F28</f>
        <v>2777842.0543379523</v>
      </c>
      <c r="L28" s="210">
        <f t="shared" ref="L28:L62" ca="1" si="12">IF(K28&lt;0,0,+K28*$L$23)</f>
        <v>74279.496532996855</v>
      </c>
      <c r="M28" s="214">
        <f t="shared" ref="M28:M62" ca="1" si="13">IF(K28&lt;0,+K28*$M$23,0)</f>
        <v>0</v>
      </c>
      <c r="N28" s="215">
        <f t="shared" ref="N28:N31" ca="1" si="14">+L28+K28+M28</f>
        <v>2852121.5508709489</v>
      </c>
      <c r="P28" s="43"/>
    </row>
    <row r="29" spans="1:16">
      <c r="A29" s="98"/>
      <c r="B29" s="162">
        <f t="shared" si="11"/>
        <v>2027</v>
      </c>
      <c r="C29" s="184">
        <f t="shared" ref="C29:C62" ca="1" si="15">+N28</f>
        <v>2852121.5508709489</v>
      </c>
      <c r="D29" s="220">
        <v>0</v>
      </c>
      <c r="E29" s="220">
        <v>0</v>
      </c>
      <c r="F29" s="185">
        <f ca="1">OFFSET($L$15,0,B29-Assumptions!$B$3)</f>
        <v>0</v>
      </c>
      <c r="G29" s="164">
        <f>'Cost Recovery Timing'!R16</f>
        <v>28.58</v>
      </c>
      <c r="H29" s="165">
        <f>Assumptions!$B$24</f>
        <v>0.02</v>
      </c>
      <c r="I29" s="185">
        <f>+IF(B29&gt;$B$45,0,I28*(1+$H29))</f>
        <v>78595.725020255355</v>
      </c>
      <c r="J29" s="244">
        <f>(G29*I29*Assumptions!$B$29)+(G28*I28*Assumptions!$B$28)+(G27*I27*Assumptions!$B$27)+'2026 Collections Summary'!B33</f>
        <v>2450889.5436396217</v>
      </c>
      <c r="K29" s="185">
        <f t="shared" ref="K29:K71" ca="1" si="16">+C29+J29-F29</f>
        <v>5303011.0945105702</v>
      </c>
      <c r="L29" s="185">
        <f t="shared" ca="1" si="12"/>
        <v>141802.51666721265</v>
      </c>
      <c r="M29" s="186">
        <f t="shared" ca="1" si="13"/>
        <v>0</v>
      </c>
      <c r="N29" s="199">
        <f t="shared" ca="1" si="14"/>
        <v>5444813.6111777825</v>
      </c>
      <c r="P29" s="43"/>
    </row>
    <row r="30" spans="1:16">
      <c r="A30" s="98"/>
      <c r="B30" s="162">
        <f t="shared" si="11"/>
        <v>2028</v>
      </c>
      <c r="C30" s="184">
        <f t="shared" ca="1" si="15"/>
        <v>5444813.6111777825</v>
      </c>
      <c r="D30" s="220">
        <v>0</v>
      </c>
      <c r="E30" s="220">
        <v>0</v>
      </c>
      <c r="F30" s="185">
        <f ca="1">OFFSET($L$15,0,B30-Assumptions!$B$3)</f>
        <v>0</v>
      </c>
      <c r="G30" s="164">
        <f>'Cost Recovery Timing'!R17</f>
        <v>28.58</v>
      </c>
      <c r="H30" s="165">
        <f>Assumptions!$B$24</f>
        <v>0.02</v>
      </c>
      <c r="I30" s="185">
        <f t="shared" ref="I30:I71" si="17">+IF(B30&gt;$B$45,0,I29*(1+$H30))</f>
        <v>80167.639520660465</v>
      </c>
      <c r="J30" s="185">
        <f>(G30*I30*Assumptions!$B$29)+(G29*I29*Assumptions!$B$28)+(G28*I28*Assumptions!$B$27)</f>
        <v>1930701.6426617485</v>
      </c>
      <c r="K30" s="185">
        <f t="shared" ca="1" si="16"/>
        <v>7375515.253839531</v>
      </c>
      <c r="L30" s="185">
        <f ca="1">IF(K30&lt;0,0,+K30*$L$23)</f>
        <v>197221.27788766907</v>
      </c>
      <c r="M30" s="186">
        <f t="shared" ca="1" si="13"/>
        <v>0</v>
      </c>
      <c r="N30" s="199">
        <f t="shared" ca="1" si="14"/>
        <v>7572736.5317272004</v>
      </c>
      <c r="P30" s="43"/>
    </row>
    <row r="31" spans="1:16">
      <c r="A31" s="98"/>
      <c r="B31" s="162">
        <f t="shared" si="11"/>
        <v>2029</v>
      </c>
      <c r="C31" s="184">
        <f t="shared" ca="1" si="15"/>
        <v>7572736.5317272004</v>
      </c>
      <c r="D31" s="220">
        <v>0</v>
      </c>
      <c r="E31" s="220">
        <v>0</v>
      </c>
      <c r="F31" s="185">
        <f ca="1">OFFSET($L$15,0,B31-Assumptions!$B$3)</f>
        <v>8064828.4353663158</v>
      </c>
      <c r="G31" s="164">
        <f>'Cost Recovery Timing'!R18</f>
        <v>28.58</v>
      </c>
      <c r="H31" s="165">
        <f>Assumptions!$B$24</f>
        <v>0.02</v>
      </c>
      <c r="I31" s="185">
        <f t="shared" si="17"/>
        <v>81770.992311073671</v>
      </c>
      <c r="J31" s="185">
        <f>(G31*I31*Assumptions!$B$29)+(G30*I30*Assumptions!$B$28)+(G29*I29*Assumptions!$B$27)</f>
        <v>2286968.1577568473</v>
      </c>
      <c r="K31" s="185">
        <f t="shared" ca="1" si="16"/>
        <v>1794876.2541177329</v>
      </c>
      <c r="L31" s="185">
        <f t="shared" ca="1" si="12"/>
        <v>47994.991035108185</v>
      </c>
      <c r="M31" s="186">
        <f t="shared" ca="1" si="13"/>
        <v>0</v>
      </c>
      <c r="N31" s="199">
        <f t="shared" ca="1" si="14"/>
        <v>1842871.2451528411</v>
      </c>
      <c r="P31" s="43"/>
    </row>
    <row r="32" spans="1:16">
      <c r="A32" s="98"/>
      <c r="B32" s="162">
        <f t="shared" si="11"/>
        <v>2030</v>
      </c>
      <c r="C32" s="184">
        <f t="shared" ca="1" si="15"/>
        <v>1842871.2451528411</v>
      </c>
      <c r="D32" s="220">
        <v>0</v>
      </c>
      <c r="E32" s="220">
        <v>0</v>
      </c>
      <c r="F32" s="185">
        <f ca="1">OFFSET($L$15,0,B32-Assumptions!$B$3)</f>
        <v>8266449.1462504724</v>
      </c>
      <c r="G32" s="164">
        <f>'Cost Recovery Timing'!R19</f>
        <v>28.58</v>
      </c>
      <c r="H32" s="165">
        <f>Assumptions!$B$24</f>
        <v>0.02</v>
      </c>
      <c r="I32" s="185">
        <f t="shared" si="17"/>
        <v>83406.412157295141</v>
      </c>
      <c r="J32" s="185">
        <f>(G32*I32*Assumptions!$B$29)+(G31*I31*Assumptions!$B$28)+(G30*I30*Assumptions!$B$27)</f>
        <v>2332707.5209119846</v>
      </c>
      <c r="K32" s="185">
        <f t="shared" ca="1" si="16"/>
        <v>-4090870.3801856469</v>
      </c>
      <c r="L32" s="185">
        <f t="shared" ca="1" si="12"/>
        <v>0</v>
      </c>
      <c r="M32" s="186">
        <f t="shared" ca="1" si="13"/>
        <v>-183925.53229314668</v>
      </c>
      <c r="N32" s="199">
        <f ca="1">+L32+K32+M32</f>
        <v>-4274795.9124787934</v>
      </c>
      <c r="P32" s="43"/>
    </row>
    <row r="33" spans="1:17">
      <c r="A33" s="98"/>
      <c r="B33" s="162">
        <f t="shared" si="11"/>
        <v>2031</v>
      </c>
      <c r="C33" s="184">
        <f t="shared" ca="1" si="15"/>
        <v>-4274795.9124787934</v>
      </c>
      <c r="D33" s="220">
        <v>0</v>
      </c>
      <c r="E33" s="220">
        <v>0</v>
      </c>
      <c r="F33" s="185">
        <f ca="1">OFFSET($L$15,0,B33-Assumptions!$B$3)</f>
        <v>8473110.3749067336</v>
      </c>
      <c r="G33" s="164">
        <f>'Cost Recovery Timing'!R20</f>
        <v>28.58</v>
      </c>
      <c r="H33" s="165">
        <f>Assumptions!$B$24</f>
        <v>0.02</v>
      </c>
      <c r="I33" s="185">
        <f t="shared" si="17"/>
        <v>85074.540400441052</v>
      </c>
      <c r="J33" s="185">
        <f>(G33*I33*Assumptions!$B$29)+(G32*I32*Assumptions!$B$28)+(G31*I31*Assumptions!$B$27)</f>
        <v>2379361.6713302243</v>
      </c>
      <c r="K33" s="185">
        <f t="shared" ca="1" si="16"/>
        <v>-10368544.616055302</v>
      </c>
      <c r="L33" s="185">
        <f t="shared" ca="1" si="12"/>
        <v>0</v>
      </c>
      <c r="M33" s="186">
        <f t="shared" ca="1" si="13"/>
        <v>-466169.76593784639</v>
      </c>
      <c r="N33" s="199">
        <f t="shared" ref="N33:N40" ca="1" si="18">+L33+K33+M33</f>
        <v>-10834714.381993148</v>
      </c>
      <c r="P33" s="43"/>
    </row>
    <row r="34" spans="1:17">
      <c r="A34" s="98"/>
      <c r="B34" s="162">
        <f t="shared" si="11"/>
        <v>2032</v>
      </c>
      <c r="C34" s="184">
        <f t="shared" ca="1" si="15"/>
        <v>-10834714.381993148</v>
      </c>
      <c r="D34" s="220">
        <v>0</v>
      </c>
      <c r="E34" s="220">
        <v>0</v>
      </c>
      <c r="F34" s="185">
        <f ca="1">OFFSET($L$15,0,B34-Assumptions!$B$3)</f>
        <v>0</v>
      </c>
      <c r="G34" s="164">
        <f>'Cost Recovery Timing'!R21</f>
        <v>28.58</v>
      </c>
      <c r="H34" s="165">
        <f>Assumptions!$B$24</f>
        <v>0.02</v>
      </c>
      <c r="I34" s="185">
        <f t="shared" si="17"/>
        <v>86776.031208449873</v>
      </c>
      <c r="J34" s="185">
        <f>(G34*I34*Assumptions!$B$29)+(G33*I33*Assumptions!$B$28)+(G32*I32*Assumptions!$B$27)</f>
        <v>2426948.9047568287</v>
      </c>
      <c r="K34" s="185">
        <f t="shared" ca="1" si="16"/>
        <v>-8407765.4772363193</v>
      </c>
      <c r="L34" s="185">
        <f t="shared" ca="1" si="12"/>
        <v>0</v>
      </c>
      <c r="M34" s="186">
        <f ca="1">IF(K34&lt;0,+K34*$M$23,0)</f>
        <v>-378013.13585654489</v>
      </c>
      <c r="N34" s="199">
        <f t="shared" ca="1" si="18"/>
        <v>-8785778.6130928639</v>
      </c>
      <c r="P34" s="43"/>
    </row>
    <row r="35" spans="1:17">
      <c r="A35" s="98"/>
      <c r="B35" s="162">
        <f t="shared" si="11"/>
        <v>2033</v>
      </c>
      <c r="C35" s="184">
        <f t="shared" ca="1" si="15"/>
        <v>-8785778.6130928639</v>
      </c>
      <c r="D35" s="220">
        <v>0</v>
      </c>
      <c r="E35" s="220">
        <v>0</v>
      </c>
      <c r="F35" s="185">
        <f ca="1">OFFSET($L$15,0,B35-Assumptions!$B$3)</f>
        <v>8309360.8914634865</v>
      </c>
      <c r="G35" s="164">
        <f>'Cost Recovery Timing'!R22</f>
        <v>28.58</v>
      </c>
      <c r="H35" s="165">
        <f>Assumptions!$B$24</f>
        <v>0.02</v>
      </c>
      <c r="I35" s="185">
        <f t="shared" si="17"/>
        <v>88511.551832618876</v>
      </c>
      <c r="J35" s="185">
        <f>(G35*I35*Assumptions!$B$29)+(G34*I34*Assumptions!$B$28)+(G33*I33*Assumptions!$B$27)</f>
        <v>2475487.8828519657</v>
      </c>
      <c r="K35" s="185">
        <f t="shared" ca="1" si="16"/>
        <v>-14619651.621704385</v>
      </c>
      <c r="L35" s="185">
        <f t="shared" ca="1" si="12"/>
        <v>0</v>
      </c>
      <c r="M35" s="186">
        <f t="shared" ca="1" si="13"/>
        <v>-657299.53691182914</v>
      </c>
      <c r="N35" s="199">
        <f t="shared" ca="1" si="18"/>
        <v>-15276951.158616213</v>
      </c>
      <c r="P35" s="43"/>
    </row>
    <row r="36" spans="1:17">
      <c r="A36" s="98"/>
      <c r="B36" s="162">
        <f t="shared" si="11"/>
        <v>2034</v>
      </c>
      <c r="C36" s="184">
        <f t="shared" ca="1" si="15"/>
        <v>-15276951.158616213</v>
      </c>
      <c r="D36" s="220">
        <v>0</v>
      </c>
      <c r="E36" s="220">
        <v>0</v>
      </c>
      <c r="F36" s="185">
        <f ca="1">OFFSET($L$15,0,B36-Assumptions!$B$3)</f>
        <v>8517094.9137500729</v>
      </c>
      <c r="G36" s="164">
        <f>'Cost Recovery Timing'!R23</f>
        <v>28.58</v>
      </c>
      <c r="H36" s="165">
        <f>Assumptions!$B$24</f>
        <v>0.02</v>
      </c>
      <c r="I36" s="185">
        <f t="shared" si="17"/>
        <v>90281.78286927125</v>
      </c>
      <c r="J36" s="185">
        <f>(G36*I36*Assumptions!$B$29)+(G35*I35*Assumptions!$B$28)+(G34*I34*Assumptions!$B$27)</f>
        <v>2524997.6405090047</v>
      </c>
      <c r="K36" s="187">
        <f t="shared" ca="1" si="16"/>
        <v>-21269048.43185728</v>
      </c>
      <c r="L36" s="185">
        <f t="shared" ca="1" si="12"/>
        <v>0</v>
      </c>
      <c r="M36" s="186">
        <f t="shared" ca="1" si="13"/>
        <v>-956256.41749630333</v>
      </c>
      <c r="N36" s="199">
        <f t="shared" ca="1" si="18"/>
        <v>-22225304.849353585</v>
      </c>
      <c r="P36" s="43"/>
    </row>
    <row r="37" spans="1:17">
      <c r="A37" s="98"/>
      <c r="B37" s="162">
        <f t="shared" si="11"/>
        <v>2035</v>
      </c>
      <c r="C37" s="184">
        <f t="shared" ca="1" si="15"/>
        <v>-22225304.849353585</v>
      </c>
      <c r="D37" s="220">
        <v>0</v>
      </c>
      <c r="E37" s="220">
        <v>0</v>
      </c>
      <c r="F37" s="185">
        <f ca="1">OFFSET($L$15,0,B37-Assumptions!$B$3)</f>
        <v>0</v>
      </c>
      <c r="G37" s="164">
        <f>'Cost Recovery Timing'!R24</f>
        <v>28.58</v>
      </c>
      <c r="H37" s="165">
        <f>Assumptions!$B$24</f>
        <v>0.02</v>
      </c>
      <c r="I37" s="185">
        <f t="shared" si="17"/>
        <v>92087.418526656678</v>
      </c>
      <c r="J37" s="185">
        <f>(G37*I37*Assumptions!$B$29)+(G36*I36*Assumptions!$B$28)+(G35*I35*Assumptions!$B$27)</f>
        <v>2575497.5933191851</v>
      </c>
      <c r="K37" s="187">
        <f t="shared" ca="1" si="16"/>
        <v>-19649807.2560344</v>
      </c>
      <c r="L37" s="185">
        <f t="shared" ca="1" si="12"/>
        <v>0</v>
      </c>
      <c r="M37" s="186">
        <f t="shared" ca="1" si="13"/>
        <v>-883455.33423130668</v>
      </c>
      <c r="N37" s="199">
        <f t="shared" ca="1" si="18"/>
        <v>-20533262.590265706</v>
      </c>
      <c r="P37" s="43"/>
    </row>
    <row r="38" spans="1:17">
      <c r="A38" s="98"/>
      <c r="B38" s="162">
        <f t="shared" si="11"/>
        <v>2036</v>
      </c>
      <c r="C38" s="184">
        <f t="shared" ca="1" si="15"/>
        <v>-20533262.590265706</v>
      </c>
      <c r="D38" s="220">
        <v>0</v>
      </c>
      <c r="E38" s="220">
        <v>0</v>
      </c>
      <c r="F38" s="185">
        <f ca="1">OFFSET($L$15,0,B38-Assumptions!$B$3)</f>
        <v>0</v>
      </c>
      <c r="G38" s="164">
        <f>'Cost Recovery Timing'!R25</f>
        <v>28.58</v>
      </c>
      <c r="H38" s="165">
        <f>Assumptions!$B$24</f>
        <v>0.02</v>
      </c>
      <c r="I38" s="185">
        <f t="shared" si="17"/>
        <v>93929.166897189818</v>
      </c>
      <c r="J38" s="185">
        <f>(G38*I38*Assumptions!$B$29)+(G37*I37*Assumptions!$B$28)+(G36*I36*Assumptions!$B$27)</f>
        <v>2627007.5451855687</v>
      </c>
      <c r="K38" s="187">
        <f t="shared" ca="1" si="16"/>
        <v>-17906255.045080137</v>
      </c>
      <c r="L38" s="185">
        <f t="shared" ca="1" si="12"/>
        <v>0</v>
      </c>
      <c r="M38" s="186">
        <f t="shared" ca="1" si="13"/>
        <v>-805065.22682680294</v>
      </c>
      <c r="N38" s="199">
        <f t="shared" ca="1" si="18"/>
        <v>-18711320.271906938</v>
      </c>
      <c r="P38" s="43"/>
    </row>
    <row r="39" spans="1:17">
      <c r="A39" s="98"/>
      <c r="B39" s="162">
        <f t="shared" si="11"/>
        <v>2037</v>
      </c>
      <c r="C39" s="184">
        <f t="shared" ca="1" si="15"/>
        <v>-18711320.271906938</v>
      </c>
      <c r="D39" s="220">
        <v>0</v>
      </c>
      <c r="E39" s="220">
        <v>0</v>
      </c>
      <c r="F39" s="185">
        <f ca="1">OFFSET($L$15,0,B39-Assumptions!$B$3)</f>
        <v>0</v>
      </c>
      <c r="G39" s="164">
        <f>'Cost Recovery Timing'!R26</f>
        <v>28.58</v>
      </c>
      <c r="H39" s="165">
        <f>Assumptions!$B$24</f>
        <v>0.02</v>
      </c>
      <c r="I39" s="185">
        <f t="shared" si="17"/>
        <v>95807.750235133615</v>
      </c>
      <c r="J39" s="185">
        <f>(G39*I39*Assumptions!$B$29)+(G38*I38*Assumptions!$B$28)+(G37*I37*Assumptions!$B$27)</f>
        <v>2679547.6960892798</v>
      </c>
      <c r="K39" s="187">
        <f t="shared" ca="1" si="16"/>
        <v>-16031772.575817659</v>
      </c>
      <c r="L39" s="185">
        <f t="shared" ca="1" si="12"/>
        <v>0</v>
      </c>
      <c r="M39" s="186">
        <f t="shared" ca="1" si="13"/>
        <v>-720788.49500876199</v>
      </c>
      <c r="N39" s="199">
        <f t="shared" ca="1" si="18"/>
        <v>-16752561.070826422</v>
      </c>
      <c r="P39" s="43"/>
    </row>
    <row r="40" spans="1:17">
      <c r="A40" s="98"/>
      <c r="B40" s="162">
        <f t="shared" si="11"/>
        <v>2038</v>
      </c>
      <c r="C40" s="184">
        <f t="shared" ca="1" si="15"/>
        <v>-16752561.070826422</v>
      </c>
      <c r="D40" s="220">
        <v>0</v>
      </c>
      <c r="E40" s="220">
        <v>0</v>
      </c>
      <c r="F40" s="185">
        <f ca="1">OFFSET($L$15,0,B40-Assumptions!$B$3)</f>
        <v>0</v>
      </c>
      <c r="G40" s="164">
        <f>'Cost Recovery Timing'!R27</f>
        <v>28.58</v>
      </c>
      <c r="H40" s="165">
        <f>Assumptions!$B$24</f>
        <v>0.02</v>
      </c>
      <c r="I40" s="185">
        <f t="shared" si="17"/>
        <v>97723.905239836284</v>
      </c>
      <c r="J40" s="185">
        <f>(G40*I40*Assumptions!$B$29)+(G39*I39*Assumptions!$B$28)+(G38*I38*Assumptions!$B$27)</f>
        <v>2733138.6500110659</v>
      </c>
      <c r="K40" s="187">
        <f t="shared" ca="1" si="16"/>
        <v>-14019422.420815356</v>
      </c>
      <c r="L40" s="185">
        <f t="shared" ca="1" si="12"/>
        <v>0</v>
      </c>
      <c r="M40" s="186">
        <f t="shared" ca="1" si="13"/>
        <v>-630313.23203985835</v>
      </c>
      <c r="N40" s="199">
        <f t="shared" ca="1" si="18"/>
        <v>-14649735.652855214</v>
      </c>
      <c r="P40" s="43"/>
    </row>
    <row r="41" spans="1:17">
      <c r="A41" s="98"/>
      <c r="B41" s="162">
        <f>+B40+1</f>
        <v>2039</v>
      </c>
      <c r="C41" s="184">
        <f t="shared" ca="1" si="15"/>
        <v>-14649735.652855214</v>
      </c>
      <c r="D41" s="220">
        <v>0</v>
      </c>
      <c r="E41" s="220">
        <v>0</v>
      </c>
      <c r="F41" s="185">
        <f ca="1">OFFSET($L$15,0,B41-Assumptions!$B$3)</f>
        <v>0</v>
      </c>
      <c r="G41" s="164">
        <f>'Cost Recovery Timing'!R28</f>
        <v>28.58</v>
      </c>
      <c r="H41" s="165">
        <f>Assumptions!$B$24</f>
        <v>0.02</v>
      </c>
      <c r="I41" s="185">
        <f t="shared" si="17"/>
        <v>99678.38334463301</v>
      </c>
      <c r="J41" s="185">
        <f>(G41*I41*Assumptions!$B$29)+(G40*I40*Assumptions!$B$28)+(G39*I39*Assumptions!$B$27)</f>
        <v>2787801.4230112871</v>
      </c>
      <c r="K41" s="187">
        <f t="shared" ca="1" si="16"/>
        <v>-11861934.229843926</v>
      </c>
      <c r="L41" s="185">
        <f t="shared" ca="1" si="12"/>
        <v>0</v>
      </c>
      <c r="M41" s="186">
        <f t="shared" ca="1" si="13"/>
        <v>-533312.56297378289</v>
      </c>
      <c r="N41" s="199">
        <f ca="1">+L41+K41+M41</f>
        <v>-12395246.792817708</v>
      </c>
      <c r="P41" s="43"/>
    </row>
    <row r="42" spans="1:17">
      <c r="A42" s="98"/>
      <c r="B42" s="162">
        <f t="shared" si="11"/>
        <v>2040</v>
      </c>
      <c r="C42" s="184">
        <f t="shared" ca="1" si="15"/>
        <v>-12395246.792817708</v>
      </c>
      <c r="D42" s="220">
        <v>0</v>
      </c>
      <c r="E42" s="220">
        <v>0</v>
      </c>
      <c r="F42" s="185">
        <f ca="1">OFFSET($L$15,0,B42-Assumptions!$B$3)</f>
        <v>0</v>
      </c>
      <c r="G42" s="164">
        <f>'Cost Recovery Timing'!R29</f>
        <v>28.58</v>
      </c>
      <c r="H42" s="165">
        <f>Assumptions!$B$24</f>
        <v>0.02</v>
      </c>
      <c r="I42" s="185">
        <f t="shared" si="17"/>
        <v>101671.95101152567</v>
      </c>
      <c r="J42" s="185">
        <f>(G42*I42*Assumptions!$B$29)+(G41*I41*Assumptions!$B$28)+(G40*I40*Assumptions!$B$27)</f>
        <v>2843557.4514715131</v>
      </c>
      <c r="K42" s="187">
        <f t="shared" ca="1" si="16"/>
        <v>-9551689.341346195</v>
      </c>
      <c r="L42" s="185">
        <f t="shared" ca="1" si="12"/>
        <v>0</v>
      </c>
      <c r="M42" s="186">
        <f t="shared" ca="1" si="13"/>
        <v>-429443.9527869249</v>
      </c>
      <c r="N42" s="199">
        <f t="shared" ref="N42" ca="1" si="19">+L42+K42+M42</f>
        <v>-9981133.2941331193</v>
      </c>
      <c r="P42" s="43"/>
    </row>
    <row r="43" spans="1:17">
      <c r="A43" s="98"/>
      <c r="B43" s="162">
        <f>+B42+1</f>
        <v>2041</v>
      </c>
      <c r="C43" s="184">
        <f t="shared" ca="1" si="15"/>
        <v>-9981133.2941331193</v>
      </c>
      <c r="D43" s="220">
        <v>0</v>
      </c>
      <c r="E43" s="220">
        <v>0</v>
      </c>
      <c r="F43" s="185">
        <f ca="1">OFFSET($L$15,0,B43-Assumptions!$B$3)</f>
        <v>0</v>
      </c>
      <c r="G43" s="164">
        <f>'Cost Recovery Timing'!R30</f>
        <v>28.58</v>
      </c>
      <c r="H43" s="165">
        <f>Assumptions!$B$24</f>
        <v>0.02</v>
      </c>
      <c r="I43" s="185">
        <f t="shared" si="17"/>
        <v>103705.39003175619</v>
      </c>
      <c r="J43" s="185">
        <f>(G43*I43*Assumptions!$B$29)+(G42*I42*Assumptions!$B$28)+(G41*I41*Assumptions!$B$27)</f>
        <v>2900428.6005009431</v>
      </c>
      <c r="K43" s="187">
        <f t="shared" ca="1" si="16"/>
        <v>-7080704.6936321761</v>
      </c>
      <c r="L43" s="185">
        <f t="shared" ca="1" si="12"/>
        <v>0</v>
      </c>
      <c r="M43" s="186">
        <f t="shared" ca="1" si="13"/>
        <v>-318348.48302570265</v>
      </c>
      <c r="N43" s="199">
        <f ca="1">+L43+K43+M43</f>
        <v>-7399053.1766578788</v>
      </c>
      <c r="P43" s="43"/>
    </row>
    <row r="44" spans="1:17">
      <c r="A44" s="98"/>
      <c r="B44" s="162">
        <f>+B43+1</f>
        <v>2042</v>
      </c>
      <c r="C44" s="184">
        <f t="shared" ca="1" si="15"/>
        <v>-7399053.1766578788</v>
      </c>
      <c r="D44" s="220">
        <v>0</v>
      </c>
      <c r="E44" s="220">
        <v>0</v>
      </c>
      <c r="F44" s="185">
        <f ca="1">OFFSET($L$15,0,B44-Assumptions!$B$3)</f>
        <v>0</v>
      </c>
      <c r="G44" s="164">
        <f>'Cost Recovery Timing'!R31</f>
        <v>28.58</v>
      </c>
      <c r="H44" s="165">
        <f>Assumptions!$B$24</f>
        <v>0.02</v>
      </c>
      <c r="I44" s="185">
        <f t="shared" si="17"/>
        <v>105779.49783239132</v>
      </c>
      <c r="J44" s="185">
        <f>(G44*I44*Assumptions!$B$29)+(G43*I43*Assumptions!$B$28)+(G42*I42*Assumptions!$B$27)</f>
        <v>2958437.172510962</v>
      </c>
      <c r="K44" s="187">
        <f t="shared" ca="1" si="16"/>
        <v>-4440616.0041469168</v>
      </c>
      <c r="L44" s="185">
        <f t="shared" ca="1" si="12"/>
        <v>0</v>
      </c>
      <c r="M44" s="186">
        <f t="shared" ca="1" si="13"/>
        <v>-199650.09554644537</v>
      </c>
      <c r="N44" s="199">
        <f ca="1">+L44+K44+M44</f>
        <v>-4640266.0996933626</v>
      </c>
      <c r="P44" s="43"/>
    </row>
    <row r="45" spans="1:17">
      <c r="A45" s="219" t="s">
        <v>144</v>
      </c>
      <c r="B45" s="208">
        <f t="shared" si="11"/>
        <v>2043</v>
      </c>
      <c r="C45" s="211">
        <f t="shared" ca="1" si="15"/>
        <v>-4640266.0996933626</v>
      </c>
      <c r="D45" s="211">
        <v>0</v>
      </c>
      <c r="E45" s="211">
        <v>0</v>
      </c>
      <c r="F45" s="212">
        <f ca="1">OFFSET($L$15,0,B45-Assumptions!$B$3)</f>
        <v>0</v>
      </c>
      <c r="G45" s="166">
        <f>'Cost Recovery Timing'!R32</f>
        <v>13.517363460297133</v>
      </c>
      <c r="H45" s="167">
        <f>Assumptions!$B$24</f>
        <v>0.02</v>
      </c>
      <c r="I45" s="212">
        <f t="shared" si="17"/>
        <v>107895.08778903916</v>
      </c>
      <c r="J45" s="212">
        <f>(G45*I45*Assumptions!$B$29)+(G44*I44*Assumptions!$B$28)+(G43*I43*Assumptions!$B$27)</f>
        <v>2530050.5684254924</v>
      </c>
      <c r="K45" s="212">
        <f t="shared" ca="1" si="16"/>
        <v>-2110215.5312678702</v>
      </c>
      <c r="L45" s="212">
        <f t="shared" ca="1" si="12"/>
        <v>0</v>
      </c>
      <c r="M45" s="216">
        <f t="shared" ca="1" si="13"/>
        <v>-94875.29028580345</v>
      </c>
      <c r="N45" s="217">
        <f t="shared" ref="N45:N62" ca="1" si="20">+L45+K45+M45</f>
        <v>-2205090.8215536736</v>
      </c>
      <c r="P45" s="43"/>
    </row>
    <row r="46" spans="1:17" ht="15" customHeight="1">
      <c r="A46" s="98"/>
      <c r="B46" s="162">
        <f>+B45+1</f>
        <v>2044</v>
      </c>
      <c r="C46" s="184">
        <f t="shared" ca="1" si="15"/>
        <v>-2205090.8215536736</v>
      </c>
      <c r="D46" s="220">
        <v>0</v>
      </c>
      <c r="E46" s="220">
        <v>0</v>
      </c>
      <c r="F46" s="185">
        <f ca="1">OFFSET($L$15,0,B46-Assumptions!$B$3)</f>
        <v>0</v>
      </c>
      <c r="G46" s="164">
        <f>'Cost Recovery Timing'!R33</f>
        <v>0</v>
      </c>
      <c r="H46" s="165">
        <f>Assumptions!$B$24</f>
        <v>0.02</v>
      </c>
      <c r="I46" s="185">
        <f t="shared" si="17"/>
        <v>0</v>
      </c>
      <c r="J46" s="185">
        <f>(G46*I46*Assumptions!$B$29)+(G45*I45*Assumptions!$B$28)+(G44*I44*Assumptions!$B$27)</f>
        <v>1646808.3543874305</v>
      </c>
      <c r="K46" s="187">
        <f t="shared" ca="1" si="16"/>
        <v>-558282.46716624312</v>
      </c>
      <c r="L46" s="185">
        <f t="shared" ca="1" si="12"/>
        <v>0</v>
      </c>
      <c r="M46" s="186">
        <f t="shared" ca="1" si="13"/>
        <v>-25100.379723794289</v>
      </c>
      <c r="N46" s="406">
        <f t="shared" ca="1" si="20"/>
        <v>-583382.84689003741</v>
      </c>
      <c r="O46" s="517" t="s">
        <v>212</v>
      </c>
      <c r="P46" s="518"/>
      <c r="Q46" s="518"/>
    </row>
    <row r="47" spans="1:17">
      <c r="A47" s="98"/>
      <c r="B47" s="162">
        <f t="shared" si="11"/>
        <v>2045</v>
      </c>
      <c r="C47" s="184">
        <f t="shared" ca="1" si="15"/>
        <v>-583382.84689003741</v>
      </c>
      <c r="D47" s="220">
        <v>0</v>
      </c>
      <c r="E47" s="220">
        <v>0</v>
      </c>
      <c r="F47" s="185">
        <f ca="1">OFFSET($L$15,0,B47-Assumptions!$B$3)</f>
        <v>0</v>
      </c>
      <c r="G47" s="164">
        <f>'Cost Recovery Timing'!R34</f>
        <v>0</v>
      </c>
      <c r="H47" s="165">
        <f>Assumptions!$B$24</f>
        <v>0.02</v>
      </c>
      <c r="I47" s="185">
        <f t="shared" si="17"/>
        <v>0</v>
      </c>
      <c r="J47" s="185">
        <f>(G47*I47*Assumptions!$B$29)+(G46*I46*Assumptions!$B$28)+(G45*I45*Assumptions!$B$27)</f>
        <v>583382.84689004382</v>
      </c>
      <c r="K47" s="187">
        <f t="shared" ca="1" si="16"/>
        <v>6.4028427004814148E-9</v>
      </c>
      <c r="L47" s="185">
        <f t="shared" ca="1" si="12"/>
        <v>1.7121201381087305E-10</v>
      </c>
      <c r="M47" s="186">
        <f t="shared" ca="1" si="13"/>
        <v>0</v>
      </c>
      <c r="N47" s="406">
        <f t="shared" ca="1" si="20"/>
        <v>6.5740547142922879E-9</v>
      </c>
      <c r="O47" s="517"/>
      <c r="P47" s="518"/>
      <c r="Q47" s="518"/>
    </row>
    <row r="48" spans="1:17">
      <c r="A48" s="98"/>
      <c r="B48" s="162">
        <f t="shared" si="11"/>
        <v>2046</v>
      </c>
      <c r="C48" s="184">
        <f t="shared" ca="1" si="15"/>
        <v>6.5740547142922879E-9</v>
      </c>
      <c r="D48" s="220">
        <v>0</v>
      </c>
      <c r="E48" s="220">
        <v>0</v>
      </c>
      <c r="F48" s="185">
        <f ca="1">OFFSET($L$15,0,B48-Assumptions!$B$3)</f>
        <v>0</v>
      </c>
      <c r="G48" s="164">
        <f>'Cost Recovery Timing'!R35</f>
        <v>0</v>
      </c>
      <c r="H48" s="165">
        <f>Assumptions!$B$24</f>
        <v>0.02</v>
      </c>
      <c r="I48" s="185">
        <f t="shared" si="17"/>
        <v>0</v>
      </c>
      <c r="J48" s="185">
        <f>(G48*I48*Assumptions!$B$29)+(G47*I47*Assumptions!$B$28)+(G46*I46*Assumptions!$B$27)</f>
        <v>0</v>
      </c>
      <c r="K48" s="187">
        <f t="shared" ca="1" si="16"/>
        <v>6.5740547142922879E-9</v>
      </c>
      <c r="L48" s="185">
        <f t="shared" ca="1" si="12"/>
        <v>1.7579022306017581E-10</v>
      </c>
      <c r="M48" s="186">
        <f ca="1">IF(K48&lt;0,+K48*$M$23,0)</f>
        <v>0</v>
      </c>
      <c r="N48" s="199">
        <f t="shared" ca="1" si="20"/>
        <v>6.7498449373524641E-9</v>
      </c>
      <c r="O48" s="517"/>
      <c r="P48" s="518"/>
      <c r="Q48" s="518"/>
    </row>
    <row r="49" spans="1:16">
      <c r="A49" s="98"/>
      <c r="B49" s="162">
        <f t="shared" si="11"/>
        <v>2047</v>
      </c>
      <c r="C49" s="184">
        <f t="shared" ca="1" si="15"/>
        <v>6.7498449373524641E-9</v>
      </c>
      <c r="D49" s="220">
        <v>0</v>
      </c>
      <c r="E49" s="220">
        <v>0</v>
      </c>
      <c r="F49" s="185">
        <f ca="1">OFFSET($L$15,0,B49-Assumptions!$B$3)</f>
        <v>0</v>
      </c>
      <c r="G49" s="164">
        <f>'Cost Recovery Timing'!R36</f>
        <v>0</v>
      </c>
      <c r="H49" s="165">
        <f>Assumptions!$B$24</f>
        <v>0.02</v>
      </c>
      <c r="I49" s="185">
        <f t="shared" si="17"/>
        <v>0</v>
      </c>
      <c r="J49" s="185">
        <f>(G49*I49*Assumptions!$B$29)+(G48*I48*Assumptions!$B$28)+(G47*I47*Assumptions!$B$27)</f>
        <v>0</v>
      </c>
      <c r="K49" s="187">
        <f t="shared" ca="1" si="16"/>
        <v>6.7498449373524641E-9</v>
      </c>
      <c r="L49" s="185">
        <f t="shared" ca="1" si="12"/>
        <v>1.8049085362480491E-10</v>
      </c>
      <c r="M49" s="186">
        <f t="shared" ca="1" si="13"/>
        <v>0</v>
      </c>
      <c r="N49" s="199">
        <f t="shared" ca="1" si="20"/>
        <v>6.9303357909772687E-9</v>
      </c>
      <c r="P49" s="43"/>
    </row>
    <row r="50" spans="1:16">
      <c r="A50" s="98"/>
      <c r="B50" s="162">
        <f t="shared" si="11"/>
        <v>2048</v>
      </c>
      <c r="C50" s="184">
        <f t="shared" ca="1" si="15"/>
        <v>6.9303357909772687E-9</v>
      </c>
      <c r="D50" s="220">
        <v>0</v>
      </c>
      <c r="E50" s="220">
        <v>0</v>
      </c>
      <c r="F50" s="185">
        <f ca="1">OFFSET($L$15,0,B50-Assumptions!$B$3)</f>
        <v>0</v>
      </c>
      <c r="G50" s="164">
        <f>'Cost Recovery Timing'!R37</f>
        <v>0</v>
      </c>
      <c r="H50" s="165">
        <f>Assumptions!$B$24</f>
        <v>0.02</v>
      </c>
      <c r="I50" s="185">
        <f t="shared" si="17"/>
        <v>0</v>
      </c>
      <c r="J50" s="185">
        <f>(G50*I50*Assumptions!$B$29)+(G49*I49*Assumptions!$B$28)+(G48*I48*Assumptions!$B$27)</f>
        <v>0</v>
      </c>
      <c r="K50" s="187">
        <f t="shared" ca="1" si="16"/>
        <v>6.9303357909772687E-9</v>
      </c>
      <c r="L50" s="185">
        <f t="shared" ca="1" si="12"/>
        <v>1.853171790507322E-10</v>
      </c>
      <c r="M50" s="186">
        <f ca="1">IF(K50&lt;0,+K50*$M$23,0)</f>
        <v>0</v>
      </c>
      <c r="N50" s="199">
        <f t="shared" ca="1" si="20"/>
        <v>7.1156529700280006E-9</v>
      </c>
      <c r="P50" s="43"/>
    </row>
    <row r="51" spans="1:16">
      <c r="A51" s="98"/>
      <c r="B51" s="162">
        <f t="shared" si="11"/>
        <v>2049</v>
      </c>
      <c r="C51" s="184">
        <f t="shared" ca="1" si="15"/>
        <v>7.1156529700280006E-9</v>
      </c>
      <c r="D51" s="220">
        <v>0</v>
      </c>
      <c r="E51" s="220">
        <v>0</v>
      </c>
      <c r="F51" s="185">
        <f ca="1">OFFSET($L$15,0,B51-Assumptions!$B$3)</f>
        <v>0</v>
      </c>
      <c r="G51" s="164">
        <f>'Cost Recovery Timing'!R38</f>
        <v>0</v>
      </c>
      <c r="H51" s="165">
        <f>Assumptions!$B$24</f>
        <v>0.02</v>
      </c>
      <c r="I51" s="185">
        <f t="shared" si="17"/>
        <v>0</v>
      </c>
      <c r="J51" s="185">
        <f>(G51*I51*Assumptions!$B$29)+(G50*I50*Assumptions!$B$28)+(G49*I49*Assumptions!$B$27)</f>
        <v>0</v>
      </c>
      <c r="K51" s="187">
        <f t="shared" ca="1" si="16"/>
        <v>7.1156529700280006E-9</v>
      </c>
      <c r="L51" s="185">
        <f t="shared" ca="1" si="12"/>
        <v>1.9027256041854875E-10</v>
      </c>
      <c r="M51" s="186">
        <f t="shared" ca="1" si="13"/>
        <v>0</v>
      </c>
      <c r="N51" s="199">
        <f t="shared" ca="1" si="20"/>
        <v>7.3059255304465493E-9</v>
      </c>
      <c r="P51" s="43"/>
    </row>
    <row r="52" spans="1:16">
      <c r="B52" s="162">
        <f t="shared" si="11"/>
        <v>2050</v>
      </c>
      <c r="C52" s="184">
        <f t="shared" ca="1" si="15"/>
        <v>7.3059255304465493E-9</v>
      </c>
      <c r="D52" s="220">
        <v>0</v>
      </c>
      <c r="E52" s="220">
        <v>0</v>
      </c>
      <c r="F52" s="185">
        <f ca="1">OFFSET($L$15,0,B52-Assumptions!$B$3)</f>
        <v>0</v>
      </c>
      <c r="G52" s="164">
        <f>'Cost Recovery Timing'!R39</f>
        <v>0</v>
      </c>
      <c r="H52" s="165">
        <f>Assumptions!$B$24</f>
        <v>0.02</v>
      </c>
      <c r="I52" s="185">
        <f t="shared" si="17"/>
        <v>0</v>
      </c>
      <c r="J52" s="185">
        <f>(G52*I52*Assumptions!$B$29)+(G51*I51*Assumptions!$B$28)+(G50*I50*Assumptions!$B$27)</f>
        <v>0</v>
      </c>
      <c r="K52" s="187">
        <f t="shared" ca="1" si="16"/>
        <v>7.3059255304465493E-9</v>
      </c>
      <c r="L52" s="185">
        <f t="shared" ca="1" si="12"/>
        <v>1.9536044868414075E-10</v>
      </c>
      <c r="M52" s="186">
        <f t="shared" ca="1" si="13"/>
        <v>0</v>
      </c>
      <c r="N52" s="199">
        <f t="shared" ca="1" si="20"/>
        <v>7.5012859791306904E-9</v>
      </c>
      <c r="P52" s="43"/>
    </row>
    <row r="53" spans="1:16">
      <c r="B53" s="162">
        <f t="shared" si="11"/>
        <v>2051</v>
      </c>
      <c r="C53" s="184">
        <f t="shared" ca="1" si="15"/>
        <v>7.5012859791306904E-9</v>
      </c>
      <c r="D53" s="220">
        <v>0</v>
      </c>
      <c r="E53" s="220">
        <v>0</v>
      </c>
      <c r="F53" s="185">
        <f ca="1">OFFSET($L$15,0,B53-Assumptions!$B$3)</f>
        <v>0</v>
      </c>
      <c r="G53" s="164">
        <f>'Cost Recovery Timing'!R40</f>
        <v>0</v>
      </c>
      <c r="H53" s="165">
        <f>Assumptions!$B$24</f>
        <v>0.02</v>
      </c>
      <c r="I53" s="185">
        <f t="shared" si="17"/>
        <v>0</v>
      </c>
      <c r="J53" s="185">
        <f>(G53*I53*Assumptions!$B$29)+(G52*I52*Assumptions!$B$28)+(G51*I51*Assumptions!$B$27)</f>
        <v>0</v>
      </c>
      <c r="K53" s="187">
        <f t="shared" ca="1" si="16"/>
        <v>7.5012859791306904E-9</v>
      </c>
      <c r="L53" s="185">
        <f t="shared" ca="1" si="12"/>
        <v>2.0058438708195468E-10</v>
      </c>
      <c r="M53" s="186">
        <f t="shared" ca="1" si="13"/>
        <v>0</v>
      </c>
      <c r="N53" s="199">
        <f t="shared" ca="1" si="20"/>
        <v>7.701870366212645E-9</v>
      </c>
      <c r="P53" s="43"/>
    </row>
    <row r="54" spans="1:16">
      <c r="B54" s="162">
        <f t="shared" si="11"/>
        <v>2052</v>
      </c>
      <c r="C54" s="184">
        <f t="shared" ca="1" si="15"/>
        <v>7.701870366212645E-9</v>
      </c>
      <c r="D54" s="220">
        <v>0</v>
      </c>
      <c r="E54" s="220">
        <v>0</v>
      </c>
      <c r="F54" s="185">
        <f ca="1">OFFSET($L$15,0,B54-Assumptions!$B$3)</f>
        <v>0</v>
      </c>
      <c r="G54" s="164">
        <f>'Cost Recovery Timing'!R41</f>
        <v>0</v>
      </c>
      <c r="H54" s="165">
        <f>Assumptions!$B$24</f>
        <v>0.02</v>
      </c>
      <c r="I54" s="185">
        <f t="shared" si="17"/>
        <v>0</v>
      </c>
      <c r="J54" s="185">
        <f>(G54*I54*Assumptions!$B$29)+(G53*I53*Assumptions!$B$28)+(G52*I52*Assumptions!$B$27)</f>
        <v>0</v>
      </c>
      <c r="K54" s="187">
        <f t="shared" ca="1" si="16"/>
        <v>7.701870366212645E-9</v>
      </c>
      <c r="L54" s="187">
        <f t="shared" ca="1" si="12"/>
        <v>2.0594801359252615E-10</v>
      </c>
      <c r="M54" s="186">
        <f t="shared" ca="1" si="13"/>
        <v>0</v>
      </c>
      <c r="N54" s="199">
        <f t="shared" ca="1" si="20"/>
        <v>7.9078183798051716E-9</v>
      </c>
    </row>
    <row r="55" spans="1:16">
      <c r="B55" s="162">
        <f t="shared" si="11"/>
        <v>2053</v>
      </c>
      <c r="C55" s="184">
        <f t="shared" ca="1" si="15"/>
        <v>7.9078183798051716E-9</v>
      </c>
      <c r="D55" s="220">
        <v>0</v>
      </c>
      <c r="E55" s="220">
        <v>0</v>
      </c>
      <c r="F55" s="185">
        <f ca="1">OFFSET($L$15,0,B55-Assumptions!$B$3)</f>
        <v>0</v>
      </c>
      <c r="G55" s="164">
        <f>'Cost Recovery Timing'!R42</f>
        <v>0</v>
      </c>
      <c r="H55" s="165">
        <f>Assumptions!$B$24</f>
        <v>0.02</v>
      </c>
      <c r="I55" s="185">
        <f t="shared" si="17"/>
        <v>0</v>
      </c>
      <c r="J55" s="185">
        <f>(G55*I55*Assumptions!$B$29)+(G54*I54*Assumptions!$B$28)+(G53*I53*Assumptions!$B$27)</f>
        <v>0</v>
      </c>
      <c r="K55" s="187">
        <f t="shared" ca="1" si="16"/>
        <v>7.9078183798051716E-9</v>
      </c>
      <c r="L55" s="187">
        <f t="shared" ca="1" si="12"/>
        <v>2.1145506347599032E-10</v>
      </c>
      <c r="M55" s="186">
        <f t="shared" ca="1" si="13"/>
        <v>0</v>
      </c>
      <c r="N55" s="199">
        <f t="shared" ca="1" si="20"/>
        <v>8.1192734432811627E-9</v>
      </c>
    </row>
    <row r="56" spans="1:16">
      <c r="B56" s="162">
        <f t="shared" si="11"/>
        <v>2054</v>
      </c>
      <c r="C56" s="184">
        <f t="shared" ca="1" si="15"/>
        <v>8.1192734432811627E-9</v>
      </c>
      <c r="D56" s="220">
        <v>0</v>
      </c>
      <c r="E56" s="220">
        <v>0</v>
      </c>
      <c r="F56" s="185">
        <f ca="1">OFFSET($L$15,0,B56-Assumptions!$B$3)</f>
        <v>0</v>
      </c>
      <c r="G56" s="164">
        <f>'Cost Recovery Timing'!R43</f>
        <v>0</v>
      </c>
      <c r="H56" s="165">
        <f>Assumptions!$B$24</f>
        <v>0.02</v>
      </c>
      <c r="I56" s="185">
        <f t="shared" si="17"/>
        <v>0</v>
      </c>
      <c r="J56" s="185">
        <f>(G56*I56*Assumptions!$B$29)+(G55*I55*Assumptions!$B$28)+(G54*I54*Assumptions!$B$27)</f>
        <v>0</v>
      </c>
      <c r="K56" s="187">
        <f t="shared" ca="1" si="16"/>
        <v>8.1192734432811627E-9</v>
      </c>
      <c r="L56" s="187">
        <f t="shared" ca="1" si="12"/>
        <v>2.1710937187333832E-10</v>
      </c>
      <c r="M56" s="186">
        <f t="shared" ca="1" si="13"/>
        <v>0</v>
      </c>
      <c r="N56" s="199">
        <f t="shared" ca="1" si="20"/>
        <v>8.3363828151545003E-9</v>
      </c>
    </row>
    <row r="57" spans="1:16">
      <c r="B57" s="162">
        <f t="shared" si="11"/>
        <v>2055</v>
      </c>
      <c r="C57" s="184">
        <f t="shared" ca="1" si="15"/>
        <v>8.3363828151545003E-9</v>
      </c>
      <c r="D57" s="220">
        <v>0</v>
      </c>
      <c r="E57" s="220">
        <v>0</v>
      </c>
      <c r="F57" s="185">
        <f ca="1">OFFSET($L$15,0,B57-Assumptions!$B$3)</f>
        <v>0</v>
      </c>
      <c r="G57" s="164">
        <f>'Cost Recovery Timing'!R44</f>
        <v>0</v>
      </c>
      <c r="H57" s="165">
        <f>Assumptions!$B$24</f>
        <v>0.02</v>
      </c>
      <c r="I57" s="185">
        <f t="shared" si="17"/>
        <v>0</v>
      </c>
      <c r="J57" s="185">
        <f>(G57*I57*Assumptions!$B$29)+(G56*I56*Assumptions!$B$28)+(G55*I55*Assumptions!$B$27)</f>
        <v>0</v>
      </c>
      <c r="K57" s="187">
        <f t="shared" ca="1" si="16"/>
        <v>8.3363828151545003E-9</v>
      </c>
      <c r="L57" s="187">
        <f t="shared" ca="1" si="12"/>
        <v>2.2291487647723137E-10</v>
      </c>
      <c r="M57" s="186">
        <f t="shared" ca="1" si="13"/>
        <v>0</v>
      </c>
      <c r="N57" s="199">
        <f t="shared" ca="1" si="20"/>
        <v>8.5592976916317311E-9</v>
      </c>
    </row>
    <row r="58" spans="1:16">
      <c r="B58" s="162">
        <f t="shared" si="11"/>
        <v>2056</v>
      </c>
      <c r="C58" s="184">
        <f t="shared" ca="1" si="15"/>
        <v>8.5592976916317311E-9</v>
      </c>
      <c r="D58" s="220">
        <v>0</v>
      </c>
      <c r="E58" s="220">
        <v>0</v>
      </c>
      <c r="F58" s="185">
        <f ca="1">OFFSET($L$15,0,B58-Assumptions!$B$3)</f>
        <v>0</v>
      </c>
      <c r="G58" s="164">
        <f>'Cost Recovery Timing'!R45</f>
        <v>0</v>
      </c>
      <c r="H58" s="165">
        <f>Assumptions!$B$24</f>
        <v>0.02</v>
      </c>
      <c r="I58" s="185">
        <f t="shared" si="17"/>
        <v>0</v>
      </c>
      <c r="J58" s="185">
        <f>(G58*I58*Assumptions!$B$29)+(G57*I57*Assumptions!$B$28)+(G56*I56*Assumptions!$B$27)</f>
        <v>0</v>
      </c>
      <c r="K58" s="187">
        <f t="shared" ca="1" si="16"/>
        <v>8.5592976916317311E-9</v>
      </c>
      <c r="L58" s="187">
        <f t="shared" ca="1" si="12"/>
        <v>2.2887562027423252E-10</v>
      </c>
      <c r="M58" s="186">
        <f t="shared" ca="1" si="13"/>
        <v>0</v>
      </c>
      <c r="N58" s="199">
        <f t="shared" ca="1" si="20"/>
        <v>8.7881733119059643E-9</v>
      </c>
    </row>
    <row r="59" spans="1:16">
      <c r="B59" s="162">
        <f t="shared" si="11"/>
        <v>2057</v>
      </c>
      <c r="C59" s="184">
        <f t="shared" ca="1" si="15"/>
        <v>8.7881733119059643E-9</v>
      </c>
      <c r="D59" s="220">
        <v>0</v>
      </c>
      <c r="E59" s="220">
        <v>0</v>
      </c>
      <c r="F59" s="185">
        <f ca="1">OFFSET($L$15,0,B59-Assumptions!$B$3)</f>
        <v>0</v>
      </c>
      <c r="G59" s="164">
        <f>'Cost Recovery Timing'!R46</f>
        <v>0</v>
      </c>
      <c r="H59" s="165">
        <f>Assumptions!$B$24</f>
        <v>0.02</v>
      </c>
      <c r="I59" s="185">
        <f t="shared" si="17"/>
        <v>0</v>
      </c>
      <c r="J59" s="185">
        <f>(G59*I59*Assumptions!$B$29)+(G58*I58*Assumptions!$B$28)+(G57*I57*Assumptions!$B$27)</f>
        <v>0</v>
      </c>
      <c r="K59" s="187">
        <f t="shared" ca="1" si="16"/>
        <v>8.7881733119059643E-9</v>
      </c>
      <c r="L59" s="187">
        <f t="shared" ca="1" si="12"/>
        <v>2.3499575436036551E-10</v>
      </c>
      <c r="M59" s="186">
        <f t="shared" ca="1" si="13"/>
        <v>0</v>
      </c>
      <c r="N59" s="199">
        <f t="shared" ca="1" si="20"/>
        <v>9.023169066266329E-9</v>
      </c>
    </row>
    <row r="60" spans="1:16">
      <c r="B60" s="162">
        <f t="shared" si="11"/>
        <v>2058</v>
      </c>
      <c r="C60" s="184">
        <f t="shared" ca="1" si="15"/>
        <v>9.023169066266329E-9</v>
      </c>
      <c r="D60" s="220">
        <v>0</v>
      </c>
      <c r="E60" s="220">
        <v>0</v>
      </c>
      <c r="F60" s="185">
        <f ca="1">OFFSET($L$15,0,B60-Assumptions!$B$3)</f>
        <v>0</v>
      </c>
      <c r="G60" s="164">
        <f>'Cost Recovery Timing'!R47</f>
        <v>0</v>
      </c>
      <c r="H60" s="165">
        <f>Assumptions!$B$24</f>
        <v>0.02</v>
      </c>
      <c r="I60" s="185">
        <f t="shared" si="17"/>
        <v>0</v>
      </c>
      <c r="J60" s="185">
        <f>(G60*I60*Assumptions!$B$29)+(G59*I59*Assumptions!$B$28)+(G58*I58*Assumptions!$B$27)</f>
        <v>0</v>
      </c>
      <c r="K60" s="187">
        <f t="shared" ca="1" si="16"/>
        <v>9.023169066266329E-9</v>
      </c>
      <c r="L60" s="187">
        <f t="shared" ca="1" si="12"/>
        <v>2.4127954083196165E-10</v>
      </c>
      <c r="M60" s="186">
        <f t="shared" ca="1" si="13"/>
        <v>0</v>
      </c>
      <c r="N60" s="199">
        <f t="shared" ca="1" si="20"/>
        <v>9.2644486070982901E-9</v>
      </c>
    </row>
    <row r="61" spans="1:16">
      <c r="B61" s="162">
        <f t="shared" si="11"/>
        <v>2059</v>
      </c>
      <c r="C61" s="184">
        <f t="shared" ca="1" si="15"/>
        <v>9.2644486070982901E-9</v>
      </c>
      <c r="D61" s="220">
        <v>0</v>
      </c>
      <c r="E61" s="220">
        <v>0</v>
      </c>
      <c r="F61" s="185">
        <f ca="1">OFFSET($L$15,0,B61-Assumptions!$B$3)</f>
        <v>0</v>
      </c>
      <c r="G61" s="164">
        <f>'Cost Recovery Timing'!R48</f>
        <v>0</v>
      </c>
      <c r="H61" s="165">
        <f>Assumptions!$B$24</f>
        <v>0.02</v>
      </c>
      <c r="I61" s="185">
        <f t="shared" si="17"/>
        <v>0</v>
      </c>
      <c r="J61" s="185">
        <f>(G61*I61*Assumptions!$B$29)+(G60*I60*Assumptions!$B$28)+(G59*I59*Assumptions!$B$27)</f>
        <v>0</v>
      </c>
      <c r="K61" s="187">
        <f t="shared" ca="1" si="16"/>
        <v>9.2644486070982901E-9</v>
      </c>
      <c r="L61" s="187">
        <f t="shared" ca="1" si="12"/>
        <v>2.4773135575380832E-10</v>
      </c>
      <c r="M61" s="186">
        <f t="shared" ca="1" si="13"/>
        <v>0</v>
      </c>
      <c r="N61" s="199">
        <f t="shared" ca="1" si="20"/>
        <v>9.5121799628520984E-9</v>
      </c>
    </row>
    <row r="62" spans="1:16">
      <c r="B62" s="162">
        <f t="shared" si="11"/>
        <v>2060</v>
      </c>
      <c r="C62" s="184">
        <f t="shared" ca="1" si="15"/>
        <v>9.5121799628520984E-9</v>
      </c>
      <c r="D62" s="220">
        <v>0</v>
      </c>
      <c r="E62" s="220">
        <v>0</v>
      </c>
      <c r="F62" s="185">
        <f ca="1">OFFSET($L$15,0,B62-Assumptions!$B$3)</f>
        <v>0</v>
      </c>
      <c r="G62" s="164">
        <f>'Cost Recovery Timing'!R49</f>
        <v>0</v>
      </c>
      <c r="H62" s="165">
        <f>Assumptions!$B$24</f>
        <v>0.02</v>
      </c>
      <c r="I62" s="185">
        <f t="shared" si="17"/>
        <v>0</v>
      </c>
      <c r="J62" s="185">
        <f>(G62*I62*Assumptions!$B$29)+(G61*I61*Assumptions!$B$28)+(G60*I60*Assumptions!$B$27)</f>
        <v>0</v>
      </c>
      <c r="K62" s="187">
        <f t="shared" ca="1" si="16"/>
        <v>9.5121799628520984E-9</v>
      </c>
      <c r="L62" s="187">
        <f t="shared" ca="1" si="12"/>
        <v>2.5435569220666514E-10</v>
      </c>
      <c r="M62" s="186">
        <f t="shared" ca="1" si="13"/>
        <v>0</v>
      </c>
      <c r="N62" s="199">
        <f t="shared" ca="1" si="20"/>
        <v>9.7665356550587644E-9</v>
      </c>
    </row>
    <row r="63" spans="1:16">
      <c r="B63" s="162">
        <f t="shared" si="11"/>
        <v>2061</v>
      </c>
      <c r="C63" s="184">
        <f t="shared" ref="C63:C71" ca="1" si="21">+N62</f>
        <v>9.7665356550587644E-9</v>
      </c>
      <c r="D63" s="220">
        <v>0</v>
      </c>
      <c r="E63" s="220">
        <v>0</v>
      </c>
      <c r="F63" s="185">
        <f ca="1">OFFSET($L$15,0,B63-Assumptions!$B$3)</f>
        <v>0</v>
      </c>
      <c r="G63" s="164">
        <f>'Cost Recovery Timing'!R50</f>
        <v>0</v>
      </c>
      <c r="H63" s="165">
        <f>Assumptions!$B$24</f>
        <v>0.02</v>
      </c>
      <c r="I63" s="185">
        <f t="shared" si="17"/>
        <v>0</v>
      </c>
      <c r="J63" s="185">
        <f>(G63*I63*Assumptions!$B$29)+(G62*I62*Assumptions!$B$28)+(G61*I61*Assumptions!$B$27)</f>
        <v>0</v>
      </c>
      <c r="K63" s="187">
        <f t="shared" ca="1" si="16"/>
        <v>9.7665356550587644E-9</v>
      </c>
      <c r="L63" s="187">
        <f t="shared" ref="L63:L71" ca="1" si="22">IF(K63&lt;0,0,+K63*$L$23)</f>
        <v>2.6115716341627141E-10</v>
      </c>
      <c r="M63" s="186">
        <f t="shared" ref="M63:M71" ca="1" si="23">IF(K63&lt;0,+K63*$M$23,0)</f>
        <v>0</v>
      </c>
      <c r="N63" s="199">
        <f t="shared" ref="N63:N71" ca="1" si="24">+L63+K63+M63</f>
        <v>1.0027692818475036E-8</v>
      </c>
    </row>
    <row r="64" spans="1:16">
      <c r="B64" s="162">
        <f t="shared" si="11"/>
        <v>2062</v>
      </c>
      <c r="C64" s="184">
        <f t="shared" ca="1" si="21"/>
        <v>1.0027692818475036E-8</v>
      </c>
      <c r="D64" s="220">
        <v>0</v>
      </c>
      <c r="E64" s="220">
        <v>0</v>
      </c>
      <c r="F64" s="185">
        <f ca="1">OFFSET($L$15,0,B64-Assumptions!$B$3)</f>
        <v>0</v>
      </c>
      <c r="G64" s="164">
        <f>'Cost Recovery Timing'!R51</f>
        <v>0</v>
      </c>
      <c r="H64" s="165">
        <f>Assumptions!$B$24</f>
        <v>0.02</v>
      </c>
      <c r="I64" s="185">
        <f t="shared" si="17"/>
        <v>0</v>
      </c>
      <c r="J64" s="185">
        <f>(G64*I64*Assumptions!$B$29)+(G63*I63*Assumptions!$B$28)+(G62*I62*Assumptions!$B$27)</f>
        <v>0</v>
      </c>
      <c r="K64" s="187">
        <f t="shared" ca="1" si="16"/>
        <v>1.0027692818475036E-8</v>
      </c>
      <c r="L64" s="187">
        <f t="shared" ca="1" si="22"/>
        <v>2.6814050596602251E-10</v>
      </c>
      <c r="M64" s="186">
        <f t="shared" ca="1" si="23"/>
        <v>0</v>
      </c>
      <c r="N64" s="199">
        <f t="shared" ca="1" si="24"/>
        <v>1.0295833324441059E-8</v>
      </c>
    </row>
    <row r="65" spans="2:14">
      <c r="B65" s="162">
        <f t="shared" si="11"/>
        <v>2063</v>
      </c>
      <c r="C65" s="184">
        <f t="shared" ca="1" si="21"/>
        <v>1.0295833324441059E-8</v>
      </c>
      <c r="D65" s="220">
        <v>0</v>
      </c>
      <c r="E65" s="220">
        <v>0</v>
      </c>
      <c r="F65" s="185">
        <f ca="1">OFFSET($L$15,0,B65-Assumptions!$B$3)</f>
        <v>0</v>
      </c>
      <c r="G65" s="164">
        <f>'Cost Recovery Timing'!R52</f>
        <v>0</v>
      </c>
      <c r="H65" s="165">
        <f>Assumptions!$B$24</f>
        <v>0.02</v>
      </c>
      <c r="I65" s="185">
        <f t="shared" si="17"/>
        <v>0</v>
      </c>
      <c r="J65" s="185">
        <f>(G65*I65*Assumptions!$B$29)+(G64*I64*Assumptions!$B$28)+(G63*I63*Assumptions!$B$27)</f>
        <v>0</v>
      </c>
      <c r="K65" s="187">
        <f t="shared" ca="1" si="16"/>
        <v>1.0295833324441059E-8</v>
      </c>
      <c r="L65" s="187">
        <f t="shared" ca="1" si="22"/>
        <v>2.7531058309555398E-10</v>
      </c>
      <c r="M65" s="186">
        <f t="shared" ca="1" si="23"/>
        <v>0</v>
      </c>
      <c r="N65" s="199">
        <f t="shared" ca="1" si="24"/>
        <v>1.0571143907536613E-8</v>
      </c>
    </row>
    <row r="66" spans="2:14">
      <c r="B66" s="162">
        <f t="shared" si="11"/>
        <v>2064</v>
      </c>
      <c r="C66" s="184">
        <f t="shared" ca="1" si="21"/>
        <v>1.0571143907536613E-8</v>
      </c>
      <c r="D66" s="220">
        <v>0</v>
      </c>
      <c r="E66" s="220">
        <v>0</v>
      </c>
      <c r="F66" s="185">
        <f ca="1">OFFSET($L$15,0,B66-Assumptions!$B$3)</f>
        <v>0</v>
      </c>
      <c r="G66" s="164">
        <f>'Cost Recovery Timing'!R53</f>
        <v>0</v>
      </c>
      <c r="H66" s="165">
        <f>Assumptions!$B$24</f>
        <v>0.02</v>
      </c>
      <c r="I66" s="185">
        <f t="shared" si="17"/>
        <v>0</v>
      </c>
      <c r="J66" s="185">
        <f>(G66*I66*Assumptions!$B$29)+(G65*I65*Assumptions!$B$28)+(G64*I64*Assumptions!$B$27)</f>
        <v>0</v>
      </c>
      <c r="K66" s="187">
        <f t="shared" ca="1" si="16"/>
        <v>1.0571143907536613E-8</v>
      </c>
      <c r="L66" s="187">
        <f t="shared" ca="1" si="22"/>
        <v>2.8267238808752907E-10</v>
      </c>
      <c r="M66" s="186">
        <f t="shared" ca="1" si="23"/>
        <v>0</v>
      </c>
      <c r="N66" s="199">
        <f t="shared" ca="1" si="24"/>
        <v>1.0853816295624142E-8</v>
      </c>
    </row>
    <row r="67" spans="2:14">
      <c r="B67" s="162">
        <f t="shared" si="11"/>
        <v>2065</v>
      </c>
      <c r="C67" s="184">
        <f t="shared" ca="1" si="21"/>
        <v>1.0853816295624142E-8</v>
      </c>
      <c r="D67" s="220">
        <v>0</v>
      </c>
      <c r="E67" s="220">
        <v>0</v>
      </c>
      <c r="F67" s="185">
        <f ca="1">OFFSET($L$15,0,B67-Assumptions!$B$3)</f>
        <v>0</v>
      </c>
      <c r="G67" s="164">
        <f>'Cost Recovery Timing'!R54</f>
        <v>0</v>
      </c>
      <c r="H67" s="165">
        <f>Assumptions!$B$24</f>
        <v>0.02</v>
      </c>
      <c r="I67" s="185">
        <f t="shared" si="17"/>
        <v>0</v>
      </c>
      <c r="J67" s="185">
        <f>(G67*I67*Assumptions!$B$29)+(G66*I66*Assumptions!$B$28)+(G65*I65*Assumptions!$B$27)</f>
        <v>0</v>
      </c>
      <c r="K67" s="187">
        <f t="shared" ca="1" si="16"/>
        <v>1.0853816295624142E-8</v>
      </c>
      <c r="L67" s="187">
        <f t="shared" ca="1" si="22"/>
        <v>2.902310477449896E-10</v>
      </c>
      <c r="M67" s="186">
        <f t="shared" ca="1" si="23"/>
        <v>0</v>
      </c>
      <c r="N67" s="199">
        <f t="shared" ca="1" si="24"/>
        <v>1.1144047343369131E-8</v>
      </c>
    </row>
    <row r="68" spans="2:14">
      <c r="B68" s="162">
        <f t="shared" si="11"/>
        <v>2066</v>
      </c>
      <c r="C68" s="184">
        <f t="shared" ca="1" si="21"/>
        <v>1.1144047343369131E-8</v>
      </c>
      <c r="D68" s="220">
        <v>0</v>
      </c>
      <c r="E68" s="220">
        <v>0</v>
      </c>
      <c r="F68" s="185">
        <f ca="1">OFFSET($L$15,0,B68-Assumptions!$B$3)</f>
        <v>0</v>
      </c>
      <c r="G68" s="164">
        <f>'Cost Recovery Timing'!R55</f>
        <v>0</v>
      </c>
      <c r="H68" s="165">
        <f>Assumptions!$B$24</f>
        <v>0.02</v>
      </c>
      <c r="I68" s="185">
        <f t="shared" si="17"/>
        <v>0</v>
      </c>
      <c r="J68" s="185">
        <f>(G68*I68*Assumptions!$B$29)+(G67*I67*Assumptions!$B$28)+(G66*I66*Assumptions!$B$27)</f>
        <v>0</v>
      </c>
      <c r="K68" s="187">
        <f t="shared" ca="1" si="16"/>
        <v>1.1144047343369131E-8</v>
      </c>
      <c r="L68" s="187">
        <f t="shared" ca="1" si="22"/>
        <v>2.9799182596169061E-10</v>
      </c>
      <c r="M68" s="186">
        <f t="shared" ca="1" si="23"/>
        <v>0</v>
      </c>
      <c r="N68" s="199">
        <f t="shared" ca="1" si="24"/>
        <v>1.1442039169330821E-8</v>
      </c>
    </row>
    <row r="69" spans="2:14">
      <c r="B69" s="162">
        <f t="shared" si="11"/>
        <v>2067</v>
      </c>
      <c r="C69" s="184">
        <f t="shared" ca="1" si="21"/>
        <v>1.1442039169330821E-8</v>
      </c>
      <c r="D69" s="220">
        <v>0</v>
      </c>
      <c r="E69" s="220">
        <v>0</v>
      </c>
      <c r="F69" s="185">
        <f ca="1">OFFSET($L$15,0,B69-Assumptions!$B$3)</f>
        <v>0</v>
      </c>
      <c r="G69" s="164">
        <f>'Cost Recovery Timing'!R56</f>
        <v>0</v>
      </c>
      <c r="H69" s="165">
        <f>Assumptions!$B$24</f>
        <v>0.02</v>
      </c>
      <c r="I69" s="185">
        <f t="shared" si="17"/>
        <v>0</v>
      </c>
      <c r="J69" s="185">
        <f>(G69*I69*Assumptions!$B$29)+(G68*I68*Assumptions!$B$28)+(G67*I67*Assumptions!$B$27)</f>
        <v>0</v>
      </c>
      <c r="K69" s="187">
        <f t="shared" ca="1" si="16"/>
        <v>1.1442039169330821E-8</v>
      </c>
      <c r="L69" s="187">
        <f t="shared" ca="1" si="22"/>
        <v>3.0596012738790622E-10</v>
      </c>
      <c r="M69" s="186">
        <f t="shared" ca="1" si="23"/>
        <v>0</v>
      </c>
      <c r="N69" s="199">
        <f t="shared" ca="1" si="24"/>
        <v>1.1747999296718727E-8</v>
      </c>
    </row>
    <row r="70" spans="2:14">
      <c r="B70" s="162">
        <f t="shared" si="11"/>
        <v>2068</v>
      </c>
      <c r="C70" s="184">
        <f t="shared" ca="1" si="21"/>
        <v>1.1747999296718727E-8</v>
      </c>
      <c r="D70" s="220">
        <v>0</v>
      </c>
      <c r="E70" s="220">
        <v>0</v>
      </c>
      <c r="F70" s="185">
        <f ca="1">OFFSET($L$15,0,B70-Assumptions!$B$3)</f>
        <v>0</v>
      </c>
      <c r="G70" s="164">
        <f>'Cost Recovery Timing'!R57</f>
        <v>0</v>
      </c>
      <c r="H70" s="165">
        <f>Assumptions!$B$24</f>
        <v>0.02</v>
      </c>
      <c r="I70" s="185">
        <f t="shared" si="17"/>
        <v>0</v>
      </c>
      <c r="J70" s="185">
        <f>(G70*I70*Assumptions!$B$29)+(G69*I69*Assumptions!$B$28)+(G68*I68*Assumptions!$B$27)</f>
        <v>0</v>
      </c>
      <c r="K70" s="187">
        <f t="shared" ca="1" si="16"/>
        <v>1.1747999296718727E-8</v>
      </c>
      <c r="L70" s="187">
        <f t="shared" ca="1" si="22"/>
        <v>3.1414150119425879E-10</v>
      </c>
      <c r="M70" s="186">
        <f t="shared" ca="1" si="23"/>
        <v>0</v>
      </c>
      <c r="N70" s="199">
        <f t="shared" ca="1" si="24"/>
        <v>1.2062140797912986E-8</v>
      </c>
    </row>
    <row r="71" spans="2:14" ht="15" thickBot="1">
      <c r="B71" s="163">
        <f t="shared" si="11"/>
        <v>2069</v>
      </c>
      <c r="C71" s="188">
        <f t="shared" ca="1" si="21"/>
        <v>1.2062140797912986E-8</v>
      </c>
      <c r="D71" s="226">
        <v>0</v>
      </c>
      <c r="E71" s="226">
        <v>0</v>
      </c>
      <c r="F71" s="197">
        <f ca="1">OFFSET($L$15,0,B71-Assumptions!$B$3)</f>
        <v>0</v>
      </c>
      <c r="G71" s="168">
        <f>'Cost Recovery Timing'!R58</f>
        <v>0</v>
      </c>
      <c r="H71" s="412">
        <f>Assumptions!$B$24</f>
        <v>0.02</v>
      </c>
      <c r="I71" s="197">
        <f t="shared" si="17"/>
        <v>0</v>
      </c>
      <c r="J71" s="197">
        <f>(G71*I71*Assumptions!$B$29)+(G70*I70*Assumptions!$B$28)+(G69*I69*Assumptions!$B$27)</f>
        <v>0</v>
      </c>
      <c r="K71" s="198">
        <f t="shared" ca="1" si="16"/>
        <v>1.2062140797912986E-8</v>
      </c>
      <c r="L71" s="198">
        <f t="shared" ca="1" si="22"/>
        <v>3.225416449361933E-10</v>
      </c>
      <c r="M71" s="200">
        <f t="shared" ca="1" si="23"/>
        <v>0</v>
      </c>
      <c r="N71" s="201">
        <f t="shared" ca="1" si="24"/>
        <v>1.2384682442849179E-8</v>
      </c>
    </row>
    <row r="72" spans="2:14">
      <c r="B72" s="97"/>
      <c r="C72" s="99"/>
      <c r="D72" s="100"/>
      <c r="E72" s="101"/>
      <c r="F72" s="102"/>
      <c r="G72" s="100"/>
      <c r="H72" s="100"/>
      <c r="I72" s="103"/>
      <c r="J72" s="103"/>
      <c r="K72" s="104"/>
      <c r="L72" s="105"/>
    </row>
    <row r="73" spans="2:14">
      <c r="B73" s="97"/>
      <c r="C73" s="99"/>
      <c r="D73" s="100"/>
      <c r="E73" s="101"/>
      <c r="F73" s="102"/>
      <c r="G73" s="100"/>
      <c r="H73" s="100"/>
      <c r="I73" s="103"/>
      <c r="J73" s="103"/>
      <c r="K73" s="104"/>
      <c r="L73" s="105"/>
    </row>
  </sheetData>
  <dataConsolidate/>
  <mergeCells count="24">
    <mergeCell ref="I8:I10"/>
    <mergeCell ref="O46:Q48"/>
    <mergeCell ref="B3:J3"/>
    <mergeCell ref="B4:J4"/>
    <mergeCell ref="B5:J5"/>
    <mergeCell ref="J8:J10"/>
    <mergeCell ref="N19:N23"/>
    <mergeCell ref="L20:M20"/>
    <mergeCell ref="K8:K9"/>
    <mergeCell ref="C9:C10"/>
    <mergeCell ref="D9:D10"/>
    <mergeCell ref="E9:E10"/>
    <mergeCell ref="J19:J20"/>
    <mergeCell ref="K19:K21"/>
    <mergeCell ref="L19:M19"/>
    <mergeCell ref="H19:H22"/>
    <mergeCell ref="D19:D22"/>
    <mergeCell ref="E19:E21"/>
    <mergeCell ref="F19:F21"/>
    <mergeCell ref="A8:A10"/>
    <mergeCell ref="B8:B10"/>
    <mergeCell ref="C8:E8"/>
    <mergeCell ref="F8:F9"/>
    <mergeCell ref="C19:C24"/>
  </mergeCells>
  <pageMargins left="0.7" right="0.7" top="0.75" bottom="0.75" header="0.3" footer="0.3"/>
  <pageSetup orientation="portrait" r:id="rId1"/>
  <tableParts count="1">
    <tablePart r:id="rId2"/>
  </tablePart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EEB813-6322-4976-A9A7-1A0974BEED0A}">
  <sheetPr codeName="Sheet55">
    <tabColor theme="4" tint="-0.249977111117893"/>
    <pageSetUpPr fitToPage="1"/>
  </sheetPr>
  <dimension ref="A1:I21"/>
  <sheetViews>
    <sheetView showGridLines="0" workbookViewId="0">
      <selection activeCell="I29" sqref="I29"/>
    </sheetView>
  </sheetViews>
  <sheetFormatPr defaultColWidth="9.109375" defaultRowHeight="14.25" customHeight="1"/>
  <cols>
    <col min="1" max="1" width="6.109375" style="50" customWidth="1"/>
    <col min="2" max="2" width="40.5546875" style="50" customWidth="1"/>
    <col min="3" max="3" width="24" style="50" customWidth="1"/>
    <col min="4" max="4" width="25.5546875" style="40" customWidth="1"/>
    <col min="5" max="5" width="16.109375" style="40" customWidth="1"/>
    <col min="6" max="6" width="13.6640625" style="50" customWidth="1"/>
    <col min="7" max="7" width="11" style="54" customWidth="1"/>
    <col min="8" max="8" width="2.44140625" style="54" hidden="1" customWidth="1"/>
    <col min="9" max="9" width="12.44140625" style="54" customWidth="1"/>
    <col min="10" max="10" width="12.21875" style="50" customWidth="1"/>
    <col min="11" max="11" width="13" style="50" customWidth="1"/>
    <col min="12" max="16384" width="9.109375" style="50"/>
  </cols>
  <sheetData>
    <row r="1" spans="1:9" ht="14.25" customHeight="1">
      <c r="A1"/>
      <c r="B1"/>
      <c r="C1"/>
      <c r="D1"/>
    </row>
    <row r="2" spans="1:9" ht="14.25" customHeight="1" thickBot="1">
      <c r="A2"/>
      <c r="B2"/>
      <c r="C2"/>
      <c r="D2"/>
      <c r="E2" s="50"/>
      <c r="F2" s="54"/>
      <c r="I2" s="50"/>
    </row>
    <row r="3" spans="1:9" ht="14.25" customHeight="1">
      <c r="A3"/>
      <c r="B3" s="528" t="s">
        <v>213</v>
      </c>
      <c r="C3" s="530" t="s">
        <v>128</v>
      </c>
      <c r="D3" s="526" t="s">
        <v>214</v>
      </c>
      <c r="E3" s="54"/>
      <c r="H3" s="50"/>
      <c r="I3" s="50"/>
    </row>
    <row r="4" spans="1:9" ht="14.25" customHeight="1">
      <c r="A4"/>
      <c r="B4" s="529"/>
      <c r="C4" s="531"/>
      <c r="D4" s="527"/>
      <c r="E4" s="54"/>
      <c r="H4" s="50"/>
      <c r="I4" s="50"/>
    </row>
    <row r="5" spans="1:9" ht="14.25" customHeight="1" thickBot="1">
      <c r="A5"/>
      <c r="B5" s="370" t="s">
        <v>78</v>
      </c>
      <c r="C5" s="371">
        <v>65806</v>
      </c>
      <c r="D5" s="372">
        <f>'Recreation - OSL'!I28</f>
        <v>77054.632372799373</v>
      </c>
      <c r="E5" s="54"/>
      <c r="H5" s="50"/>
      <c r="I5" s="50"/>
    </row>
    <row r="6" spans="1:9" ht="14.25" customHeight="1">
      <c r="A6"/>
      <c r="B6"/>
      <c r="C6"/>
      <c r="D6"/>
      <c r="E6" s="54"/>
      <c r="H6" s="50"/>
      <c r="I6" s="50"/>
    </row>
    <row r="7" spans="1:9" ht="14.25" customHeight="1">
      <c r="A7"/>
      <c r="B7"/>
      <c r="C7"/>
      <c r="D7"/>
      <c r="E7" s="54"/>
      <c r="H7" s="50"/>
      <c r="I7" s="50"/>
    </row>
    <row r="8" spans="1:9" ht="14.25" customHeight="1">
      <c r="A8"/>
      <c r="B8"/>
      <c r="C8"/>
      <c r="D8"/>
      <c r="E8" s="54"/>
      <c r="H8" s="50"/>
      <c r="I8" s="50"/>
    </row>
    <row r="9" spans="1:9" ht="14.25" customHeight="1">
      <c r="A9"/>
      <c r="B9"/>
      <c r="C9"/>
      <c r="D9"/>
      <c r="E9" s="50"/>
      <c r="F9" s="54"/>
      <c r="I9" s="50"/>
    </row>
    <row r="10" spans="1:9" ht="14.25" customHeight="1">
      <c r="A10"/>
      <c r="B10"/>
      <c r="C10"/>
      <c r="D10"/>
    </row>
    <row r="14" spans="1:9" ht="14.25" customHeight="1">
      <c r="D14" s="50"/>
    </row>
    <row r="20" spans="3:4" ht="14.25" customHeight="1">
      <c r="C20" s="170"/>
      <c r="D20" s="169"/>
    </row>
    <row r="21" spans="3:4" ht="14.25" customHeight="1">
      <c r="C21" s="170"/>
    </row>
  </sheetData>
  <mergeCells count="3">
    <mergeCell ref="D3:D4"/>
    <mergeCell ref="B3:B4"/>
    <mergeCell ref="C3:C4"/>
  </mergeCells>
  <pageMargins left="0.70866141732283472" right="0.70866141732283472" top="0.74803149606299213" bottom="0.74803149606299213" header="0.31496062992125984" footer="0.31496062992125984"/>
  <pageSetup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A36616D2-2866-4548-BCBC-14F71532C793}">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8</vt:i4>
      </vt:variant>
      <vt:variant>
        <vt:lpstr>Named Ranges</vt:lpstr>
      </vt:variant>
      <vt:variant>
        <vt:i4>1</vt:i4>
      </vt:variant>
    </vt:vector>
  </HeadingPairs>
  <TitlesOfParts>
    <vt:vector size="9" baseType="lpstr">
      <vt:lpstr>Read Me</vt:lpstr>
      <vt:lpstr>Assumptions</vt:lpstr>
      <vt:lpstr>2026 Collections Summary</vt:lpstr>
      <vt:lpstr>Cost Recovery Timing</vt:lpstr>
      <vt:lpstr>Project List </vt:lpstr>
      <vt:lpstr>R-Recreation</vt:lpstr>
      <vt:lpstr>Recreation - OSL</vt:lpstr>
      <vt:lpstr>Offsite Levy Rate Summary</vt:lpstr>
      <vt:lpstr>'Project List '!Print_Area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Clayton Drewlo</dc:creator>
  <cp:lastModifiedBy>Andrea Charlebois</cp:lastModifiedBy>
  <cp:lastPrinted>2026-03-19T21:26:27Z</cp:lastPrinted>
  <dcterms:created xsi:type="dcterms:W3CDTF">2015-01-12T14:41:46Z</dcterms:created>
  <dcterms:modified xsi:type="dcterms:W3CDTF">2026-09-10T22:00:46Z</dcterms:modified>
  <cp:contentStatus/>
</cp:coreProperties>
</file>